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RV podklady - PŘIVADĚČ\Smlouva o spolupráci 6.23 VHS- Dobříš včetně podkladů\Rozdělení, smlouva- verze pro obce 5.6.2023\"/>
    </mc:Choice>
  </mc:AlternateContent>
  <xr:revisionPtr revIDLastSave="0" documentId="13_ncr:1_{12F95E81-05E2-4CD3-8CCB-7619D8B6BB2D}" xr6:coauthVersionLast="47" xr6:coauthVersionMax="47" xr10:uidLastSave="{00000000-0000-0000-0000-000000000000}"/>
  <bookViews>
    <workbookView xWindow="-120" yWindow="-120" windowWidth="29040" windowHeight="15840" xr2:uid="{E11D38E2-344C-4828-9C96-D52FE2485C37}"/>
  </bookViews>
  <sheets>
    <sheet name="Rozdělení-70,90%(dotace)" sheetId="6" r:id="rId1"/>
    <sheet name="Tab_obce" sheetId="3" r:id="rId2"/>
  </sheets>
  <definedNames>
    <definedName name="_xlnm.Print_Area" localSheetId="1">Tab_obce!#REF!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6" l="1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28" i="6" s="1"/>
  <c r="P7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28" i="6"/>
  <c r="T28" i="6"/>
  <c r="T27" i="6" s="1"/>
  <c r="U27" i="6" s="1"/>
  <c r="S28" i="6"/>
  <c r="L28" i="6"/>
  <c r="L13" i="6" s="1"/>
  <c r="M13" i="6" s="1"/>
  <c r="K28" i="6"/>
  <c r="D28" i="6"/>
  <c r="D26" i="6" s="1"/>
  <c r="E26" i="6" s="1"/>
  <c r="C28" i="6"/>
  <c r="D13" i="6" l="1"/>
  <c r="E13" i="6" s="1"/>
  <c r="D23" i="6"/>
  <c r="E23" i="6" s="1"/>
  <c r="D16" i="6"/>
  <c r="E16" i="6" s="1"/>
  <c r="D25" i="6"/>
  <c r="E25" i="6" s="1"/>
  <c r="D9" i="6"/>
  <c r="E9" i="6" s="1"/>
  <c r="D19" i="6"/>
  <c r="E19" i="6" s="1"/>
  <c r="D27" i="6"/>
  <c r="E27" i="6" s="1"/>
  <c r="D8" i="6"/>
  <c r="E8" i="6" s="1"/>
  <c r="D12" i="6"/>
  <c r="E12" i="6" s="1"/>
  <c r="D20" i="6"/>
  <c r="E20" i="6" s="1"/>
  <c r="D22" i="6"/>
  <c r="E22" i="6" s="1"/>
  <c r="F28" i="6"/>
  <c r="F21" i="6" s="1"/>
  <c r="D7" i="6"/>
  <c r="E7" i="6" s="1"/>
  <c r="D11" i="6"/>
  <c r="E11" i="6" s="1"/>
  <c r="D15" i="6"/>
  <c r="E15" i="6" s="1"/>
  <c r="D18" i="6"/>
  <c r="E18" i="6" s="1"/>
  <c r="L27" i="6"/>
  <c r="M27" i="6" s="1"/>
  <c r="D10" i="6"/>
  <c r="E10" i="6" s="1"/>
  <c r="D14" i="6"/>
  <c r="E14" i="6" s="1"/>
  <c r="D21" i="6"/>
  <c r="E21" i="6" s="1"/>
  <c r="D24" i="6"/>
  <c r="E24" i="6" s="1"/>
  <c r="N28" i="6"/>
  <c r="N20" i="6" s="1"/>
  <c r="V28" i="6"/>
  <c r="V16" i="6"/>
  <c r="L18" i="6"/>
  <c r="M18" i="6" s="1"/>
  <c r="L11" i="6"/>
  <c r="M11" i="6" s="1"/>
  <c r="L22" i="6"/>
  <c r="M22" i="6" s="1"/>
  <c r="L24" i="6"/>
  <c r="M24" i="6" s="1"/>
  <c r="L16" i="6"/>
  <c r="M16" i="6" s="1"/>
  <c r="D17" i="6"/>
  <c r="E17" i="6" s="1"/>
  <c r="L10" i="6"/>
  <c r="M10" i="6" s="1"/>
  <c r="L15" i="6"/>
  <c r="M15" i="6" s="1"/>
  <c r="L26" i="6"/>
  <c r="M26" i="6" s="1"/>
  <c r="L9" i="6"/>
  <c r="M9" i="6" s="1"/>
  <c r="L14" i="6"/>
  <c r="M14" i="6" s="1"/>
  <c r="L23" i="6"/>
  <c r="M23" i="6" s="1"/>
  <c r="L7" i="6"/>
  <c r="M7" i="6" s="1"/>
  <c r="L19" i="6"/>
  <c r="M19" i="6" s="1"/>
  <c r="L21" i="6"/>
  <c r="M21" i="6" s="1"/>
  <c r="L12" i="6"/>
  <c r="M12" i="6" s="1"/>
  <c r="L25" i="6"/>
  <c r="M25" i="6" s="1"/>
  <c r="L17" i="6"/>
  <c r="M17" i="6" s="1"/>
  <c r="L8" i="6"/>
  <c r="M8" i="6" s="1"/>
  <c r="L20" i="6"/>
  <c r="M20" i="6" s="1"/>
  <c r="T7" i="6"/>
  <c r="U7" i="6" s="1"/>
  <c r="T8" i="6"/>
  <c r="U8" i="6" s="1"/>
  <c r="T9" i="6"/>
  <c r="U9" i="6" s="1"/>
  <c r="T10" i="6"/>
  <c r="U10" i="6" s="1"/>
  <c r="T11" i="6"/>
  <c r="U11" i="6" s="1"/>
  <c r="T12" i="6"/>
  <c r="U12" i="6" s="1"/>
  <c r="T13" i="6"/>
  <c r="U13" i="6" s="1"/>
  <c r="T14" i="6"/>
  <c r="U14" i="6" s="1"/>
  <c r="T15" i="6"/>
  <c r="U15" i="6" s="1"/>
  <c r="T16" i="6"/>
  <c r="U16" i="6" s="1"/>
  <c r="T17" i="6"/>
  <c r="U17" i="6" s="1"/>
  <c r="T18" i="6"/>
  <c r="U18" i="6" s="1"/>
  <c r="T19" i="6"/>
  <c r="U19" i="6" s="1"/>
  <c r="T20" i="6"/>
  <c r="U20" i="6" s="1"/>
  <c r="T21" i="6"/>
  <c r="U21" i="6" s="1"/>
  <c r="T22" i="6"/>
  <c r="U22" i="6" s="1"/>
  <c r="T23" i="6"/>
  <c r="U23" i="6" s="1"/>
  <c r="T24" i="6"/>
  <c r="U24" i="6" s="1"/>
  <c r="T25" i="6"/>
  <c r="U25" i="6" s="1"/>
  <c r="T26" i="6"/>
  <c r="U26" i="6" s="1"/>
  <c r="F15" i="6" l="1"/>
  <c r="G15" i="6" s="1"/>
  <c r="H15" i="6" s="1"/>
  <c r="F12" i="6"/>
  <c r="G12" i="6" s="1"/>
  <c r="H12" i="6" s="1"/>
  <c r="F24" i="6"/>
  <c r="N14" i="6"/>
  <c r="N23" i="6"/>
  <c r="O23" i="6" s="1"/>
  <c r="N10" i="6"/>
  <c r="O10" i="6" s="1"/>
  <c r="N18" i="6"/>
  <c r="O18" i="6" s="1"/>
  <c r="N24" i="6"/>
  <c r="O24" i="6" s="1"/>
  <c r="N13" i="6"/>
  <c r="O13" i="6" s="1"/>
  <c r="N11" i="6"/>
  <c r="O11" i="6" s="1"/>
  <c r="N7" i="6"/>
  <c r="O7" i="6" s="1"/>
  <c r="O14" i="6"/>
  <c r="N17" i="6"/>
  <c r="O17" i="6" s="1"/>
  <c r="N21" i="6"/>
  <c r="O21" i="6" s="1"/>
  <c r="G24" i="6"/>
  <c r="H24" i="6" s="1"/>
  <c r="G21" i="6"/>
  <c r="H21" i="6" s="1"/>
  <c r="V21" i="6"/>
  <c r="W21" i="6" s="1"/>
  <c r="V27" i="6"/>
  <c r="W27" i="6" s="1"/>
  <c r="V26" i="6"/>
  <c r="W26" i="6" s="1"/>
  <c r="V22" i="6"/>
  <c r="W22" i="6" s="1"/>
  <c r="V19" i="6"/>
  <c r="W19" i="6" s="1"/>
  <c r="V18" i="6"/>
  <c r="W18" i="6" s="1"/>
  <c r="V12" i="6"/>
  <c r="V8" i="6"/>
  <c r="W8" i="6" s="1"/>
  <c r="V23" i="6"/>
  <c r="W23" i="6" s="1"/>
  <c r="V20" i="6"/>
  <c r="V13" i="6"/>
  <c r="W13" i="6" s="1"/>
  <c r="V9" i="6"/>
  <c r="W9" i="6" s="1"/>
  <c r="V17" i="6"/>
  <c r="W17" i="6" s="1"/>
  <c r="V14" i="6"/>
  <c r="W14" i="6" s="1"/>
  <c r="V10" i="6"/>
  <c r="W10" i="6" s="1"/>
  <c r="V25" i="6"/>
  <c r="W25" i="6" s="1"/>
  <c r="V24" i="6"/>
  <c r="V15" i="6"/>
  <c r="W15" i="6" s="1"/>
  <c r="V11" i="6"/>
  <c r="W11" i="6" s="1"/>
  <c r="V7" i="6"/>
  <c r="W7" i="6" s="1"/>
  <c r="N27" i="6"/>
  <c r="O27" i="6" s="1"/>
  <c r="F11" i="6"/>
  <c r="G11" i="6" s="1"/>
  <c r="H11" i="6" s="1"/>
  <c r="F7" i="6"/>
  <c r="G7" i="6" s="1"/>
  <c r="H7" i="6" s="1"/>
  <c r="F25" i="6"/>
  <c r="G25" i="6" s="1"/>
  <c r="H25" i="6" s="1"/>
  <c r="F16" i="6"/>
  <c r="G16" i="6" s="1"/>
  <c r="H16" i="6" s="1"/>
  <c r="F8" i="6"/>
  <c r="G8" i="6" s="1"/>
  <c r="H8" i="6" s="1"/>
  <c r="F27" i="6"/>
  <c r="G27" i="6" s="1"/>
  <c r="H27" i="6" s="1"/>
  <c r="F26" i="6"/>
  <c r="G26" i="6" s="1"/>
  <c r="H26" i="6" s="1"/>
  <c r="F23" i="6"/>
  <c r="G23" i="6" s="1"/>
  <c r="H23" i="6" s="1"/>
  <c r="F22" i="6"/>
  <c r="G22" i="6" s="1"/>
  <c r="H22" i="6" s="1"/>
  <c r="F20" i="6"/>
  <c r="G20" i="6" s="1"/>
  <c r="H20" i="6" s="1"/>
  <c r="F19" i="6"/>
  <c r="G19" i="6" s="1"/>
  <c r="H19" i="6" s="1"/>
  <c r="F13" i="6"/>
  <c r="G13" i="6" s="1"/>
  <c r="H13" i="6" s="1"/>
  <c r="F17" i="6"/>
  <c r="G17" i="6" s="1"/>
  <c r="H17" i="6" s="1"/>
  <c r="F14" i="6"/>
  <c r="G14" i="6" s="1"/>
  <c r="H14" i="6" s="1"/>
  <c r="F10" i="6"/>
  <c r="G10" i="6" s="1"/>
  <c r="H10" i="6" s="1"/>
  <c r="W24" i="6"/>
  <c r="W20" i="6"/>
  <c r="W12" i="6"/>
  <c r="F9" i="6"/>
  <c r="G9" i="6" s="1"/>
  <c r="H9" i="6" s="1"/>
  <c r="F18" i="6"/>
  <c r="G18" i="6" s="1"/>
  <c r="H18" i="6" s="1"/>
  <c r="N8" i="6"/>
  <c r="O8" i="6" s="1"/>
  <c r="N25" i="6"/>
  <c r="O25" i="6" s="1"/>
  <c r="N16" i="6"/>
  <c r="O16" i="6" s="1"/>
  <c r="N15" i="6"/>
  <c r="O15" i="6" s="1"/>
  <c r="N26" i="6"/>
  <c r="O26" i="6" s="1"/>
  <c r="N22" i="6"/>
  <c r="O22" i="6" s="1"/>
  <c r="N19" i="6"/>
  <c r="O19" i="6" s="1"/>
  <c r="N12" i="6"/>
  <c r="O12" i="6" s="1"/>
  <c r="N9" i="6"/>
  <c r="O9" i="6" s="1"/>
  <c r="U28" i="6"/>
  <c r="M28" i="6"/>
  <c r="E28" i="6"/>
  <c r="W16" i="6"/>
  <c r="O20" i="6"/>
  <c r="H28" i="6" l="1"/>
  <c r="W28" i="6"/>
  <c r="G28" i="6"/>
  <c r="O28" i="6"/>
  <c r="AB28" i="3"/>
  <c r="P27" i="3"/>
  <c r="N27" i="3"/>
  <c r="Y21" i="3" l="1"/>
  <c r="AB103" i="3" l="1"/>
  <c r="Z103" i="3"/>
  <c r="AA103" i="3" s="1"/>
  <c r="AC103" i="3" s="1"/>
  <c r="N26" i="3" s="1"/>
  <c r="P26" i="3" s="1"/>
  <c r="Z102" i="3"/>
  <c r="AA102" i="3" s="1"/>
  <c r="AB101" i="3"/>
  <c r="Z101" i="3"/>
  <c r="AA101" i="3" s="1"/>
  <c r="W103" i="3"/>
  <c r="W101" i="3"/>
  <c r="U102" i="3"/>
  <c r="V102" i="3" s="1"/>
  <c r="U103" i="3"/>
  <c r="V103" i="3" s="1"/>
  <c r="X103" i="3" s="1"/>
  <c r="H26" i="3" s="1"/>
  <c r="J26" i="3" s="1"/>
  <c r="U101" i="3"/>
  <c r="V101" i="3" s="1"/>
  <c r="T104" i="3"/>
  <c r="C34" i="3"/>
  <c r="U21" i="3"/>
  <c r="S31" i="3"/>
  <c r="R88" i="3"/>
  <c r="D32" i="3" s="1"/>
  <c r="Z87" i="3"/>
  <c r="AA87" i="3" s="1"/>
  <c r="AB86" i="3"/>
  <c r="Z86" i="3"/>
  <c r="AA86" i="3" s="1"/>
  <c r="AB85" i="3"/>
  <c r="Z85" i="3"/>
  <c r="W86" i="3"/>
  <c r="W85" i="3"/>
  <c r="U86" i="3"/>
  <c r="V86" i="3" s="1"/>
  <c r="U87" i="3"/>
  <c r="V87" i="3" s="1"/>
  <c r="U85" i="3"/>
  <c r="V85" i="3" s="1"/>
  <c r="X85" i="3" s="1"/>
  <c r="H24" i="3" s="1"/>
  <c r="J24" i="3" s="1"/>
  <c r="Y88" i="3"/>
  <c r="T88" i="3"/>
  <c r="Z104" i="3"/>
  <c r="Y104" i="3"/>
  <c r="U104" i="3"/>
  <c r="O104" i="3"/>
  <c r="Q104" i="3" s="1"/>
  <c r="N104" i="3"/>
  <c r="P104" i="3" s="1"/>
  <c r="L104" i="3"/>
  <c r="AB100" i="3"/>
  <c r="AA100" i="3"/>
  <c r="AC100" i="3" s="1"/>
  <c r="W100" i="3"/>
  <c r="V100" i="3"/>
  <c r="X100" i="3" s="1"/>
  <c r="AB99" i="3"/>
  <c r="M20" i="3" s="1"/>
  <c r="AA99" i="3"/>
  <c r="AC99" i="3" s="1"/>
  <c r="N20" i="3" s="1"/>
  <c r="P20" i="3" s="1"/>
  <c r="W99" i="3"/>
  <c r="V99" i="3"/>
  <c r="X99" i="3" s="1"/>
  <c r="S99" i="3"/>
  <c r="AB98" i="3"/>
  <c r="AA98" i="3"/>
  <c r="AC98" i="3" s="1"/>
  <c r="W98" i="3"/>
  <c r="V98" i="3"/>
  <c r="X98" i="3" s="1"/>
  <c r="S98" i="3"/>
  <c r="AA97" i="3"/>
  <c r="V97" i="3"/>
  <c r="S97" i="3"/>
  <c r="Q97" i="3"/>
  <c r="P97" i="3"/>
  <c r="AA96" i="3"/>
  <c r="V96" i="3"/>
  <c r="Q96" i="3"/>
  <c r="P96" i="3"/>
  <c r="AA95" i="3"/>
  <c r="V95" i="3"/>
  <c r="Q95" i="3"/>
  <c r="P95" i="3"/>
  <c r="AB93" i="3"/>
  <c r="AA93" i="3"/>
  <c r="W93" i="3"/>
  <c r="V93" i="3"/>
  <c r="Q93" i="3"/>
  <c r="P93" i="3"/>
  <c r="O88" i="3"/>
  <c r="Q88" i="3" s="1"/>
  <c r="N88" i="3"/>
  <c r="P88" i="3" s="1"/>
  <c r="L88" i="3"/>
  <c r="AA84" i="3"/>
  <c r="V84" i="3"/>
  <c r="AB83" i="3"/>
  <c r="M22" i="3" s="1"/>
  <c r="AA83" i="3"/>
  <c r="W83" i="3"/>
  <c r="V83" i="3"/>
  <c r="AA82" i="3"/>
  <c r="V82" i="3"/>
  <c r="S82" i="3"/>
  <c r="AB81" i="3"/>
  <c r="M18" i="3" s="1"/>
  <c r="AA81" i="3"/>
  <c r="W81" i="3"/>
  <c r="V81" i="3"/>
  <c r="AA80" i="3"/>
  <c r="V80" i="3"/>
  <c r="S80" i="3"/>
  <c r="Q80" i="3"/>
  <c r="S77" i="3" s="1"/>
  <c r="P80" i="3"/>
  <c r="AB78" i="3"/>
  <c r="M19" i="3" s="1"/>
  <c r="AA78" i="3"/>
  <c r="W78" i="3"/>
  <c r="V78" i="3"/>
  <c r="AA77" i="3"/>
  <c r="V77" i="3"/>
  <c r="AA76" i="3"/>
  <c r="V76" i="3"/>
  <c r="AB75" i="3"/>
  <c r="M17" i="3" s="1"/>
  <c r="AA75" i="3"/>
  <c r="W75" i="3"/>
  <c r="V75" i="3"/>
  <c r="AB74" i="3"/>
  <c r="AA74" i="3"/>
  <c r="AC74" i="3" s="1"/>
  <c r="N15" i="3" s="1"/>
  <c r="P15" i="3" s="1"/>
  <c r="W74" i="3"/>
  <c r="V74" i="3"/>
  <c r="X74" i="3" s="1"/>
  <c r="S74" i="3"/>
  <c r="Q74" i="3"/>
  <c r="S73" i="3" s="1"/>
  <c r="E15" i="3" s="1"/>
  <c r="P74" i="3"/>
  <c r="AA73" i="3"/>
  <c r="V73" i="3"/>
  <c r="AA72" i="3"/>
  <c r="V72" i="3"/>
  <c r="AA71" i="3"/>
  <c r="V71" i="3"/>
  <c r="AA70" i="3"/>
  <c r="V70" i="3"/>
  <c r="Q70" i="3"/>
  <c r="P70" i="3"/>
  <c r="AB69" i="3"/>
  <c r="M16" i="3" s="1"/>
  <c r="AA69" i="3"/>
  <c r="W69" i="3"/>
  <c r="V69" i="3"/>
  <c r="Q69" i="3"/>
  <c r="P69" i="3"/>
  <c r="AA68" i="3"/>
  <c r="V68" i="3"/>
  <c r="AB66" i="3"/>
  <c r="M8" i="3" s="1"/>
  <c r="M29" i="3" s="1"/>
  <c r="AA66" i="3"/>
  <c r="W66" i="3"/>
  <c r="V66" i="3"/>
  <c r="Q66" i="3"/>
  <c r="S65" i="3" s="1"/>
  <c r="P66" i="3"/>
  <c r="Z61" i="3"/>
  <c r="AA61" i="3" s="1"/>
  <c r="Y61" i="3"/>
  <c r="U61" i="3"/>
  <c r="V61" i="3" s="1"/>
  <c r="T61" i="3"/>
  <c r="O61" i="3"/>
  <c r="N61" i="3"/>
  <c r="L61" i="3"/>
  <c r="AB60" i="3"/>
  <c r="M21" i="3" s="1"/>
  <c r="AA60" i="3"/>
  <c r="AC60" i="3" s="1"/>
  <c r="N21" i="3" s="1"/>
  <c r="P21" i="3" s="1"/>
  <c r="W60" i="3"/>
  <c r="V60" i="3"/>
  <c r="X60" i="3" s="1"/>
  <c r="AA59" i="3"/>
  <c r="V59" i="3"/>
  <c r="S59" i="3"/>
  <c r="AB58" i="3"/>
  <c r="M14" i="3" s="1"/>
  <c r="AA58" i="3"/>
  <c r="W58" i="3"/>
  <c r="V58" i="3"/>
  <c r="AA57" i="3"/>
  <c r="V57" i="3"/>
  <c r="S57" i="3"/>
  <c r="Q57" i="3"/>
  <c r="P57" i="3"/>
  <c r="AA55" i="3"/>
  <c r="V55" i="3"/>
  <c r="AA54" i="3"/>
  <c r="V54" i="3"/>
  <c r="AB53" i="3"/>
  <c r="M13" i="3" s="1"/>
  <c r="AA53" i="3"/>
  <c r="W53" i="3"/>
  <c r="V53" i="3"/>
  <c r="Q53" i="3"/>
  <c r="P53" i="3"/>
  <c r="AA52" i="3"/>
  <c r="V52" i="3"/>
  <c r="Q52" i="3"/>
  <c r="P52" i="3"/>
  <c r="AA50" i="3"/>
  <c r="V50" i="3"/>
  <c r="AB49" i="3"/>
  <c r="M12" i="3" s="1"/>
  <c r="AA49" i="3"/>
  <c r="W49" i="3"/>
  <c r="V49" i="3"/>
  <c r="Q49" i="3"/>
  <c r="P49" i="3"/>
  <c r="AA48" i="3"/>
  <c r="V48" i="3"/>
  <c r="AB47" i="3"/>
  <c r="M11" i="3" s="1"/>
  <c r="AA47" i="3"/>
  <c r="W47" i="3"/>
  <c r="V47" i="3"/>
  <c r="Q47" i="3"/>
  <c r="S46" i="3" s="1"/>
  <c r="E11" i="3" s="1"/>
  <c r="P47" i="3"/>
  <c r="AB45" i="3"/>
  <c r="M9" i="3" s="1"/>
  <c r="AA45" i="3"/>
  <c r="AC45" i="3" s="1"/>
  <c r="N9" i="3" s="1"/>
  <c r="P9" i="3" s="1"/>
  <c r="W45" i="3"/>
  <c r="V45" i="3"/>
  <c r="X45" i="3" s="1"/>
  <c r="Q45" i="3"/>
  <c r="S44" i="3" s="1"/>
  <c r="E9" i="3" s="1"/>
  <c r="P45" i="3"/>
  <c r="AB44" i="3"/>
  <c r="M7" i="3" s="1"/>
  <c r="AA44" i="3"/>
  <c r="AC44" i="3" s="1"/>
  <c r="N7" i="3" s="1"/>
  <c r="P7" i="3" s="1"/>
  <c r="W44" i="3"/>
  <c r="V44" i="3"/>
  <c r="X44" i="3" s="1"/>
  <c r="Q44" i="3"/>
  <c r="S43" i="3" s="1"/>
  <c r="E7" i="3" s="1"/>
  <c r="P44" i="3"/>
  <c r="AA43" i="3"/>
  <c r="V43" i="3"/>
  <c r="Q43" i="3"/>
  <c r="P43" i="3"/>
  <c r="AA42" i="3"/>
  <c r="V42" i="3"/>
  <c r="Q42" i="3"/>
  <c r="P42" i="3"/>
  <c r="AB40" i="3"/>
  <c r="M6" i="3" s="1"/>
  <c r="AA40" i="3"/>
  <c r="W40" i="3"/>
  <c r="V40" i="3"/>
  <c r="Q40" i="3"/>
  <c r="P40" i="3"/>
  <c r="D33" i="3"/>
  <c r="D31" i="3"/>
  <c r="J22" i="3"/>
  <c r="J21" i="3"/>
  <c r="J20" i="3"/>
  <c r="J19" i="3"/>
  <c r="J18" i="3"/>
  <c r="J17" i="3"/>
  <c r="J16" i="3"/>
  <c r="D16" i="3"/>
  <c r="J15" i="3"/>
  <c r="D15" i="3"/>
  <c r="J14" i="3"/>
  <c r="J13" i="3"/>
  <c r="D13" i="3"/>
  <c r="J12" i="3"/>
  <c r="D12" i="3"/>
  <c r="J11" i="3"/>
  <c r="D11" i="3"/>
  <c r="J10" i="3"/>
  <c r="D10" i="3"/>
  <c r="J9" i="3"/>
  <c r="D9" i="3"/>
  <c r="J8" i="3"/>
  <c r="D8" i="3"/>
  <c r="J7" i="3"/>
  <c r="D7" i="3"/>
  <c r="J6" i="3"/>
  <c r="D6" i="3"/>
  <c r="AC101" i="3" l="1"/>
  <c r="N25" i="3" s="1"/>
  <c r="X101" i="3"/>
  <c r="H25" i="3" s="1"/>
  <c r="W88" i="3"/>
  <c r="G32" i="3" s="1"/>
  <c r="Z88" i="3"/>
  <c r="Z106" i="3" s="1"/>
  <c r="AC78" i="3"/>
  <c r="N19" i="3" s="1"/>
  <c r="P19" i="3" s="1"/>
  <c r="X83" i="3"/>
  <c r="AC86" i="3"/>
  <c r="U88" i="3"/>
  <c r="U106" i="3" s="1"/>
  <c r="V88" i="3"/>
  <c r="X86" i="3"/>
  <c r="AB88" i="3"/>
  <c r="M32" i="3" s="1"/>
  <c r="AA85" i="3"/>
  <c r="AC85" i="3" s="1"/>
  <c r="N24" i="3" s="1"/>
  <c r="P24" i="3" s="1"/>
  <c r="S48" i="3"/>
  <c r="E12" i="3" s="1"/>
  <c r="AC58" i="3"/>
  <c r="N14" i="3" s="1"/>
  <c r="P14" i="3" s="1"/>
  <c r="X78" i="3"/>
  <c r="L106" i="3"/>
  <c r="S39" i="3"/>
  <c r="E6" i="3" s="1"/>
  <c r="S68" i="3"/>
  <c r="E16" i="3" s="1"/>
  <c r="X53" i="3"/>
  <c r="X40" i="3"/>
  <c r="X66" i="3"/>
  <c r="O106" i="3"/>
  <c r="Q106" i="3" s="1"/>
  <c r="Y106" i="3"/>
  <c r="AC47" i="3"/>
  <c r="N11" i="3" s="1"/>
  <c r="P11" i="3" s="1"/>
  <c r="AC83" i="3"/>
  <c r="N22" i="3" s="1"/>
  <c r="P22" i="3" s="1"/>
  <c r="AC53" i="3"/>
  <c r="N13" i="3" s="1"/>
  <c r="P13" i="3" s="1"/>
  <c r="X47" i="3"/>
  <c r="W61" i="3"/>
  <c r="G31" i="3" s="1"/>
  <c r="S52" i="3"/>
  <c r="E13" i="3" s="1"/>
  <c r="J32" i="3"/>
  <c r="X69" i="3"/>
  <c r="AC49" i="3"/>
  <c r="N12" i="3" s="1"/>
  <c r="P12" i="3" s="1"/>
  <c r="X58" i="3"/>
  <c r="AC69" i="3"/>
  <c r="N16" i="3" s="1"/>
  <c r="P16" i="3" s="1"/>
  <c r="X75" i="3"/>
  <c r="S92" i="3"/>
  <c r="E10" i="3" s="1"/>
  <c r="D34" i="3"/>
  <c r="AC75" i="3"/>
  <c r="N17" i="3" s="1"/>
  <c r="P17" i="3" s="1"/>
  <c r="X93" i="3"/>
  <c r="X104" i="3" s="1"/>
  <c r="H33" i="3" s="1"/>
  <c r="X49" i="3"/>
  <c r="N106" i="3"/>
  <c r="P106" i="3" s="1"/>
  <c r="X81" i="3"/>
  <c r="W104" i="3"/>
  <c r="G33" i="3" s="1"/>
  <c r="J33" i="3"/>
  <c r="AC66" i="3"/>
  <c r="N8" i="3" s="1"/>
  <c r="P8" i="3" s="1"/>
  <c r="AC93" i="3"/>
  <c r="AC104" i="3" s="1"/>
  <c r="N33" i="3" s="1"/>
  <c r="J34" i="3"/>
  <c r="L17" i="3" s="1"/>
  <c r="AC40" i="3"/>
  <c r="N6" i="3" s="1"/>
  <c r="P6" i="3" s="1"/>
  <c r="Q61" i="3"/>
  <c r="S60" i="3" s="1"/>
  <c r="E31" i="3" s="1"/>
  <c r="AC81" i="3"/>
  <c r="N18" i="3" s="1"/>
  <c r="P18" i="3" s="1"/>
  <c r="AB104" i="3"/>
  <c r="M33" i="3" s="1"/>
  <c r="T106" i="3"/>
  <c r="E8" i="3"/>
  <c r="M10" i="3"/>
  <c r="V104" i="3"/>
  <c r="J31" i="3"/>
  <c r="M15" i="3"/>
  <c r="P61" i="3"/>
  <c r="AB61" i="3"/>
  <c r="M31" i="3" s="1"/>
  <c r="AA104" i="3"/>
  <c r="P29" i="3" l="1"/>
  <c r="Q8" i="3"/>
  <c r="P25" i="3"/>
  <c r="U17" i="3"/>
  <c r="N23" i="3"/>
  <c r="P23" i="3" s="1"/>
  <c r="P34" i="3" s="1"/>
  <c r="H23" i="3"/>
  <c r="J23" i="3" s="1"/>
  <c r="L24" i="3" s="1"/>
  <c r="J25" i="3"/>
  <c r="L26" i="3" s="1"/>
  <c r="L25" i="3"/>
  <c r="X88" i="3"/>
  <c r="H32" i="3" s="1"/>
  <c r="AC88" i="3"/>
  <c r="AA88" i="3"/>
  <c r="AA106" i="3" s="1"/>
  <c r="L23" i="3"/>
  <c r="V106" i="3"/>
  <c r="N10" i="3"/>
  <c r="P10" i="3" s="1"/>
  <c r="S84" i="3"/>
  <c r="X61" i="3"/>
  <c r="H31" i="3" s="1"/>
  <c r="L9" i="3"/>
  <c r="L21" i="3"/>
  <c r="L6" i="3"/>
  <c r="L13" i="3"/>
  <c r="S100" i="3"/>
  <c r="E33" i="3" s="1"/>
  <c r="G34" i="3"/>
  <c r="L20" i="3"/>
  <c r="L22" i="3"/>
  <c r="L16" i="3"/>
  <c r="L11" i="3"/>
  <c r="W106" i="3"/>
  <c r="L14" i="3"/>
  <c r="AC61" i="3"/>
  <c r="N31" i="3" s="1"/>
  <c r="L7" i="3"/>
  <c r="L19" i="3"/>
  <c r="L10" i="3"/>
  <c r="L8" i="3"/>
  <c r="L15" i="3"/>
  <c r="L18" i="3"/>
  <c r="L12" i="3"/>
  <c r="P32" i="3"/>
  <c r="AB106" i="3"/>
  <c r="M34" i="3"/>
  <c r="D37" i="3" s="1"/>
  <c r="P31" i="3"/>
  <c r="Q11" i="3" l="1"/>
  <c r="Q15" i="3"/>
  <c r="Q10" i="3"/>
  <c r="Q13" i="3"/>
  <c r="Q18" i="3"/>
  <c r="Q6" i="3"/>
  <c r="Q24" i="3"/>
  <c r="Q17" i="3"/>
  <c r="R21" i="3" s="1"/>
  <c r="Q12" i="3"/>
  <c r="Q7" i="3"/>
  <c r="Q23" i="3"/>
  <c r="Q16" i="3"/>
  <c r="Q26" i="3"/>
  <c r="Q14" i="3"/>
  <c r="Q27" i="3"/>
  <c r="Q25" i="3"/>
  <c r="Q21" i="3"/>
  <c r="Q19" i="3"/>
  <c r="Q9" i="3"/>
  <c r="Q20" i="3"/>
  <c r="Q22" i="3"/>
  <c r="P33" i="3"/>
  <c r="AC106" i="3"/>
  <c r="L31" i="3"/>
  <c r="H34" i="3"/>
  <c r="S105" i="3"/>
  <c r="X106" i="3"/>
  <c r="E32" i="3"/>
  <c r="E34" i="3" s="1"/>
  <c r="N32" i="3"/>
  <c r="N34" i="3" s="1"/>
  <c r="Q31" i="3" l="1"/>
  <c r="E35" i="3"/>
</calcChain>
</file>

<file path=xl/sharedStrings.xml><?xml version="1.0" encoding="utf-8"?>
<sst xmlns="http://schemas.openxmlformats.org/spreadsheetml/2006/main" count="428" uniqueCount="110">
  <si>
    <t>Obec / město</t>
  </si>
  <si>
    <t>% podíl</t>
  </si>
  <si>
    <t>na celkové potřebě vody</t>
  </si>
  <si>
    <t>ZRN</t>
  </si>
  <si>
    <t>[tis.Kč]</t>
  </si>
  <si>
    <t>ZRN+VRN (3,5%) [tis.Kč]</t>
  </si>
  <si>
    <t>Přípravné</t>
  </si>
  <si>
    <t>a projekční práce</t>
  </si>
  <si>
    <t>Dobříš</t>
  </si>
  <si>
    <t>Stará Huť</t>
  </si>
  <si>
    <t>Nový Knín</t>
  </si>
  <si>
    <t>Mokrovraty</t>
  </si>
  <si>
    <t>Rosovice</t>
  </si>
  <si>
    <t>Obořiště</t>
  </si>
  <si>
    <t>Svaté Pole</t>
  </si>
  <si>
    <t>Pičín</t>
  </si>
  <si>
    <t>Rybníky</t>
  </si>
  <si>
    <t>Drhovy</t>
  </si>
  <si>
    <t>Buková u Příbramě</t>
  </si>
  <si>
    <t>Buš</t>
  </si>
  <si>
    <t>Chotilsko</t>
  </si>
  <si>
    <t>Borotice</t>
  </si>
  <si>
    <t>Nové Dvory</t>
  </si>
  <si>
    <t>Čím</t>
  </si>
  <si>
    <t>Kotenčice</t>
  </si>
  <si>
    <t>Korkyně</t>
  </si>
  <si>
    <t>Celkem</t>
  </si>
  <si>
    <t>současný stav
(dle studie 2020)</t>
  </si>
  <si>
    <t>Stávající veřejný vodovod (ano/ne dle místních částí)</t>
  </si>
  <si>
    <t>Oblast zásobení</t>
  </si>
  <si>
    <t>% podíl na celkovém množství odebírané vody</t>
  </si>
  <si>
    <t xml:space="preserve">přepočet vody předané ze SV </t>
  </si>
  <si>
    <t>Stávající počet obyvatel k 1.1.2021</t>
  </si>
  <si>
    <t>počet zásobených obyvatel</t>
  </si>
  <si>
    <t>potřeba vody</t>
  </si>
  <si>
    <t>podíl odběrů ze SV</t>
  </si>
  <si>
    <t>[ob]</t>
  </si>
  <si>
    <r>
      <t>[tis.m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/rok]</t>
    </r>
  </si>
  <si>
    <t>[%]</t>
  </si>
  <si>
    <t>ano</t>
  </si>
  <si>
    <t>A</t>
  </si>
  <si>
    <t>ano/ne</t>
  </si>
  <si>
    <t>B</t>
  </si>
  <si>
    <t>C</t>
  </si>
  <si>
    <t>ne</t>
  </si>
  <si>
    <t>Borotice (Hubenov, Dražetice, Čelina)</t>
  </si>
  <si>
    <t>3 místní části</t>
  </si>
  <si>
    <t>Borotice (Borotice)</t>
  </si>
  <si>
    <t>Celkem A</t>
  </si>
  <si>
    <t>Celkem B</t>
  </si>
  <si>
    <t>Celkem C</t>
  </si>
  <si>
    <t>Celkem vše</t>
  </si>
  <si>
    <t>rozdíl potřeb 2025 a současné potřeby</t>
  </si>
  <si>
    <t>Obec /
 město</t>
  </si>
  <si>
    <t>Spotřebiště 
(místní část)</t>
  </si>
  <si>
    <t>Stávající stav (SS)</t>
  </si>
  <si>
    <t>oblast A</t>
  </si>
  <si>
    <t>PZO</t>
  </si>
  <si>
    <t>SPV</t>
  </si>
  <si>
    <r>
      <t>Q</t>
    </r>
    <r>
      <rPr>
        <b/>
        <vertAlign val="subscript"/>
        <sz val="11"/>
        <color theme="1"/>
        <rFont val="Arial"/>
        <family val="2"/>
        <charset val="238"/>
      </rPr>
      <t>pVF</t>
    </r>
  </si>
  <si>
    <r>
      <t>Q</t>
    </r>
    <r>
      <rPr>
        <b/>
        <vertAlign val="subscript"/>
        <sz val="11"/>
        <color theme="1"/>
        <rFont val="Arial"/>
        <family val="2"/>
        <charset val="238"/>
      </rPr>
      <t>p</t>
    </r>
  </si>
  <si>
    <t>VVF</t>
  </si>
  <si>
    <t>VV</t>
  </si>
  <si>
    <r>
      <t>[l.ob</t>
    </r>
    <r>
      <rPr>
        <vertAlign val="superscript"/>
        <sz val="9"/>
        <color theme="1"/>
        <rFont val="Arial"/>
        <family val="2"/>
        <charset val="238"/>
      </rPr>
      <t>-1</t>
    </r>
    <r>
      <rPr>
        <sz val="9"/>
        <color theme="1"/>
        <rFont val="Arial"/>
        <family val="2"/>
        <charset val="238"/>
      </rPr>
      <t>.den</t>
    </r>
    <r>
      <rPr>
        <vertAlign val="superscript"/>
        <sz val="9"/>
        <color theme="1"/>
        <rFont val="Arial"/>
        <family val="2"/>
        <charset val="238"/>
      </rPr>
      <t>-1</t>
    </r>
    <r>
      <rPr>
        <sz val="9"/>
        <color theme="1"/>
        <rFont val="Arial"/>
        <family val="2"/>
        <charset val="238"/>
      </rPr>
      <t>]</t>
    </r>
  </si>
  <si>
    <t>[l/s]</t>
  </si>
  <si>
    <t>Velkoodběratelé</t>
  </si>
  <si>
    <t>Doosan Bobcat s.r.o. - starý závod</t>
  </si>
  <si>
    <t>Doosan Bobcat s.r.o. - nový závod</t>
  </si>
  <si>
    <t>Pouště</t>
  </si>
  <si>
    <t>Lhotka</t>
  </si>
  <si>
    <t>Budínek</t>
  </si>
  <si>
    <t>Nohel Garden, a.s.</t>
  </si>
  <si>
    <t>Libice</t>
  </si>
  <si>
    <t>Budín</t>
  </si>
  <si>
    <t>Anbremetall, a.s.</t>
  </si>
  <si>
    <t>Spotřebiště bez veřejného vodovodu</t>
  </si>
  <si>
    <t>Homole</t>
  </si>
  <si>
    <t>oblast B</t>
  </si>
  <si>
    <t>Sudovice</t>
  </si>
  <si>
    <t>Libčice</t>
  </si>
  <si>
    <t>Prostřední Lhota, Mokrsko</t>
  </si>
  <si>
    <t>Záborná Lhota</t>
  </si>
  <si>
    <t>Sejecká Lhota</t>
  </si>
  <si>
    <t>Lipí</t>
  </si>
  <si>
    <t>Hubenov</t>
  </si>
  <si>
    <t>Dražetice</t>
  </si>
  <si>
    <t>Čelina</t>
  </si>
  <si>
    <t>Boca, spol. s.r.o.</t>
  </si>
  <si>
    <t>Krámy</t>
  </si>
  <si>
    <t>Křížov</t>
  </si>
  <si>
    <t>oblast C</t>
  </si>
  <si>
    <t>Jatka Rosovice</t>
  </si>
  <si>
    <t>JZD Rosovice</t>
  </si>
  <si>
    <t>Penzion Holšín</t>
  </si>
  <si>
    <t>Bojanovice</t>
  </si>
  <si>
    <t>Bratřínov</t>
  </si>
  <si>
    <t>Malá Lečice</t>
  </si>
  <si>
    <t>Spotřebiště má částečně vybudovaný vodovod, ale jen pro část obce, nutné dobudovat do ostatních částí</t>
  </si>
  <si>
    <t>Suchodol</t>
  </si>
  <si>
    <t>Občov</t>
  </si>
  <si>
    <t>Líha</t>
  </si>
  <si>
    <t>Kh</t>
  </si>
  <si>
    <t>[-]</t>
  </si>
  <si>
    <t>VERZE bez dotace</t>
  </si>
  <si>
    <t>VERZE 70 % dotace</t>
  </si>
  <si>
    <t>ROZDĚLENÍ INVESTIČNÍCH NÁKLADŮ MEZI JEDNOTLIVÉ OBCE DLE POŽADAVKŮ BUDOUCÍ SPOTŘEBY DO ROKU 2040</t>
  </si>
  <si>
    <t>INVESTIČNÍ NÁKLADY, VČ. BUKOVÉ A REKONSTRUKCE ŘADŮ VDJ SV. ANNA - OBOŘIŠTĚ + ZÁSOBNÍCH ŘADŮ NA HRANICI OBCE</t>
  </si>
  <si>
    <t>VERZE  90 % dotace</t>
  </si>
  <si>
    <t>Celkem [tis.Kč s DPH 21%]</t>
  </si>
  <si>
    <t>Celkem [tis.Kč bez DPH]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</si>
</sst>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00%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2">
    <xf numFmtId="0" fontId="0" fillId="0" borderId="0" xfId="0"/>
    <xf numFmtId="10" fontId="4" fillId="0" borderId="8" xfId="0" applyNumberFormat="1" applyFont="1" applyBorder="1" applyAlignment="1">
      <alignment horizontal="right" vertical="center"/>
    </xf>
    <xf numFmtId="9" fontId="0" fillId="0" borderId="0" xfId="1" applyFont="1"/>
    <xf numFmtId="1" fontId="0" fillId="0" borderId="0" xfId="0" applyNumberFormat="1"/>
    <xf numFmtId="0" fontId="6" fillId="4" borderId="9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3" fontId="14" fillId="5" borderId="8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 vertical="center"/>
    </xf>
    <xf numFmtId="2" fontId="15" fillId="0" borderId="14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/>
    </xf>
    <xf numFmtId="10" fontId="0" fillId="0" borderId="0" xfId="0" applyNumberFormat="1"/>
    <xf numFmtId="0" fontId="13" fillId="0" borderId="0" xfId="0" applyFont="1" applyAlignment="1">
      <alignment horizontal="left" vertical="center" wrapText="1"/>
    </xf>
    <xf numFmtId="1" fontId="13" fillId="0" borderId="0" xfId="0" applyNumberFormat="1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2" fontId="15" fillId="0" borderId="0" xfId="0" applyNumberFormat="1" applyFont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left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8" fillId="6" borderId="11" xfId="0" applyFont="1" applyFill="1" applyBorder="1" applyAlignment="1">
      <alignment horizontal="center" vertical="center" wrapText="1"/>
    </xf>
    <xf numFmtId="2" fontId="15" fillId="8" borderId="19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3" fontId="10" fillId="0" borderId="19" xfId="0" applyNumberFormat="1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2" fontId="21" fillId="0" borderId="19" xfId="0" applyNumberFormat="1" applyFont="1" applyBorder="1" applyAlignment="1">
      <alignment horizontal="center" vertical="center"/>
    </xf>
    <xf numFmtId="2" fontId="15" fillId="0" borderId="19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 indent="1"/>
    </xf>
    <xf numFmtId="3" fontId="10" fillId="0" borderId="19" xfId="0" applyNumberFormat="1" applyFont="1" applyBorder="1" applyAlignment="1">
      <alignment horizontal="center" vertical="center"/>
    </xf>
    <xf numFmtId="2" fontId="15" fillId="8" borderId="21" xfId="0" applyNumberFormat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indent="1"/>
    </xf>
    <xf numFmtId="2" fontId="15" fillId="8" borderId="25" xfId="0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left" vertical="center" indent="1"/>
    </xf>
    <xf numFmtId="0" fontId="20" fillId="0" borderId="9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2" fontId="21" fillId="0" borderId="8" xfId="0" applyNumberFormat="1" applyFont="1" applyBorder="1" applyAlignment="1">
      <alignment horizontal="center" vertical="center"/>
    </xf>
    <xf numFmtId="2" fontId="15" fillId="8" borderId="14" xfId="0" applyNumberFormat="1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2" fontId="15" fillId="8" borderId="27" xfId="0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3" fontId="10" fillId="0" borderId="8" xfId="0" applyNumberFormat="1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2" fontId="21" fillId="0" borderId="14" xfId="0" applyNumberFormat="1" applyFont="1" applyBorder="1" applyAlignment="1">
      <alignment horizontal="center" vertical="center"/>
    </xf>
    <xf numFmtId="2" fontId="15" fillId="8" borderId="8" xfId="0" applyNumberFormat="1" applyFont="1" applyFill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2" fontId="15" fillId="8" borderId="30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left" vertical="center"/>
    </xf>
    <xf numFmtId="1" fontId="10" fillId="0" borderId="8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left" vertical="center"/>
    </xf>
    <xf numFmtId="164" fontId="21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2" fontId="15" fillId="8" borderId="24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2" fontId="15" fillId="8" borderId="12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2" fontId="15" fillId="8" borderId="34" xfId="0" applyNumberFormat="1" applyFont="1" applyFill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center"/>
    </xf>
    <xf numFmtId="2" fontId="15" fillId="8" borderId="38" xfId="0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3" fontId="6" fillId="0" borderId="40" xfId="0" applyNumberFormat="1" applyFont="1" applyBorder="1" applyAlignment="1">
      <alignment horizontal="center"/>
    </xf>
    <xf numFmtId="2" fontId="22" fillId="0" borderId="41" xfId="0" applyNumberFormat="1" applyFont="1" applyBorder="1" applyAlignment="1">
      <alignment horizontal="center" vertical="center"/>
    </xf>
    <xf numFmtId="2" fontId="6" fillId="8" borderId="42" xfId="0" applyNumberFormat="1" applyFont="1" applyFill="1" applyBorder="1" applyAlignment="1">
      <alignment horizontal="center" vertical="center"/>
    </xf>
    <xf numFmtId="2" fontId="6" fillId="0" borderId="42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2" fontId="6" fillId="8" borderId="43" xfId="0" applyNumberFormat="1" applyFont="1" applyFill="1" applyBorder="1" applyAlignment="1">
      <alignment horizontal="center" vertical="center"/>
    </xf>
    <xf numFmtId="2" fontId="15" fillId="8" borderId="44" xfId="0" applyNumberFormat="1" applyFont="1" applyFill="1" applyBorder="1" applyAlignment="1">
      <alignment horizontal="center" vertical="center"/>
    </xf>
    <xf numFmtId="0" fontId="13" fillId="0" borderId="45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3" fontId="10" fillId="0" borderId="44" xfId="0" applyNumberFormat="1" applyFont="1" applyBorder="1" applyAlignment="1">
      <alignment horizontal="left" vertical="center"/>
    </xf>
    <xf numFmtId="0" fontId="21" fillId="0" borderId="44" xfId="0" applyFont="1" applyBorder="1" applyAlignment="1">
      <alignment horizontal="center" vertical="center"/>
    </xf>
    <xf numFmtId="2" fontId="21" fillId="0" borderId="44" xfId="0" applyNumberFormat="1" applyFont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center"/>
    </xf>
    <xf numFmtId="2" fontId="15" fillId="8" borderId="47" xfId="0" applyNumberFormat="1" applyFont="1" applyFill="1" applyBorder="1" applyAlignment="1">
      <alignment horizontal="center" vertical="center"/>
    </xf>
    <xf numFmtId="2" fontId="15" fillId="0" borderId="3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4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3" fillId="0" borderId="49" xfId="0" applyFont="1" applyBorder="1" applyAlignment="1">
      <alignment horizontal="left" vertical="center"/>
    </xf>
    <xf numFmtId="0" fontId="13" fillId="0" borderId="50" xfId="0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5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3" fontId="10" fillId="0" borderId="11" xfId="0" applyNumberFormat="1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indent="1"/>
    </xf>
    <xf numFmtId="0" fontId="14" fillId="0" borderId="31" xfId="0" applyFont="1" applyBorder="1" applyAlignment="1">
      <alignment horizontal="left" vertical="center" indent="1"/>
    </xf>
    <xf numFmtId="0" fontId="14" fillId="0" borderId="52" xfId="0" applyFont="1" applyBorder="1" applyAlignment="1">
      <alignment horizontal="left" vertical="center" indent="1"/>
    </xf>
    <xf numFmtId="0" fontId="14" fillId="0" borderId="10" xfId="0" applyFont="1" applyBorder="1" applyAlignment="1">
      <alignment horizontal="left" vertical="center" indent="1"/>
    </xf>
    <xf numFmtId="0" fontId="14" fillId="0" borderId="30" xfId="0" applyFont="1" applyBorder="1" applyAlignment="1">
      <alignment horizontal="left" vertical="center" indent="1"/>
    </xf>
    <xf numFmtId="0" fontId="20" fillId="0" borderId="13" xfId="0" applyFont="1" applyBorder="1" applyAlignment="1">
      <alignment horizontal="left" vertical="center"/>
    </xf>
    <xf numFmtId="0" fontId="20" fillId="0" borderId="53" xfId="0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3" xfId="0" applyFont="1" applyBorder="1" applyAlignment="1">
      <alignment horizontal="left" vertical="center"/>
    </xf>
    <xf numFmtId="0" fontId="20" fillId="0" borderId="54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3" fontId="10" fillId="0" borderId="13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2" fontId="15" fillId="8" borderId="11" xfId="0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2" fontId="6" fillId="8" borderId="50" xfId="0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2" fontId="15" fillId="8" borderId="23" xfId="0" applyNumberFormat="1" applyFont="1" applyFill="1" applyBorder="1" applyAlignment="1">
      <alignment horizontal="center" vertical="center"/>
    </xf>
    <xf numFmtId="0" fontId="6" fillId="0" borderId="55" xfId="0" applyFont="1" applyBorder="1"/>
    <xf numFmtId="0" fontId="6" fillId="0" borderId="50" xfId="0" applyFont="1" applyBorder="1"/>
    <xf numFmtId="3" fontId="6" fillId="0" borderId="50" xfId="0" applyNumberFormat="1" applyFont="1" applyBorder="1"/>
    <xf numFmtId="2" fontId="22" fillId="0" borderId="50" xfId="0" applyNumberFormat="1" applyFont="1" applyBorder="1" applyAlignment="1">
      <alignment horizontal="center" vertical="center"/>
    </xf>
    <xf numFmtId="0" fontId="10" fillId="0" borderId="0" xfId="0" applyFont="1"/>
    <xf numFmtId="2" fontId="6" fillId="8" borderId="56" xfId="0" applyNumberFormat="1" applyFont="1" applyFill="1" applyBorder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3" fontId="6" fillId="0" borderId="50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2" fontId="6" fillId="8" borderId="12" xfId="0" applyNumberFormat="1" applyFont="1" applyFill="1" applyBorder="1" applyAlignment="1">
      <alignment horizontal="center" vertical="center"/>
    </xf>
    <xf numFmtId="2" fontId="6" fillId="8" borderId="8" xfId="0" applyNumberFormat="1" applyFont="1" applyFill="1" applyBorder="1" applyAlignment="1">
      <alignment horizontal="center" vertical="center"/>
    </xf>
    <xf numFmtId="2" fontId="6" fillId="8" borderId="1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3" fontId="7" fillId="0" borderId="2" xfId="0" applyNumberFormat="1" applyFont="1" applyBorder="1"/>
    <xf numFmtId="2" fontId="22" fillId="0" borderId="57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8" borderId="31" xfId="0" applyNumberFormat="1" applyFont="1" applyFill="1" applyBorder="1" applyAlignment="1">
      <alignment horizontal="center" vertical="center"/>
    </xf>
    <xf numFmtId="2" fontId="15" fillId="8" borderId="48" xfId="0" applyNumberFormat="1" applyFont="1" applyFill="1" applyBorder="1" applyAlignment="1">
      <alignment horizontal="center" vertical="center"/>
    </xf>
    <xf numFmtId="2" fontId="15" fillId="8" borderId="35" xfId="0" applyNumberFormat="1" applyFont="1" applyFill="1" applyBorder="1" applyAlignment="1">
      <alignment horizontal="center" vertical="center"/>
    </xf>
    <xf numFmtId="165" fontId="4" fillId="0" borderId="8" xfId="0" applyNumberFormat="1" applyFont="1" applyBorder="1" applyAlignment="1">
      <alignment horizontal="right" vertical="center"/>
    </xf>
    <xf numFmtId="165" fontId="4" fillId="9" borderId="8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2" fillId="0" borderId="0" xfId="0" applyFont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8" xfId="0" applyFont="1" applyBorder="1" applyAlignment="1">
      <alignment horizontal="left" vertical="center"/>
    </xf>
    <xf numFmtId="0" fontId="13" fillId="3" borderId="35" xfId="0" applyFont="1" applyFill="1" applyBorder="1" applyAlignment="1">
      <alignment horizontal="left" vertical="center"/>
    </xf>
    <xf numFmtId="10" fontId="21" fillId="0" borderId="19" xfId="0" applyNumberFormat="1" applyFont="1" applyBorder="1" applyAlignment="1">
      <alignment horizontal="right" vertical="center"/>
    </xf>
    <xf numFmtId="3" fontId="21" fillId="0" borderId="8" xfId="0" applyNumberFormat="1" applyFont="1" applyBorder="1" applyAlignment="1">
      <alignment horizontal="right" vertical="center" wrapText="1"/>
    </xf>
    <xf numFmtId="3" fontId="21" fillId="0" borderId="30" xfId="0" applyNumberFormat="1" applyFont="1" applyBorder="1" applyAlignment="1">
      <alignment horizontal="right" vertical="center" wrapText="1"/>
    </xf>
    <xf numFmtId="0" fontId="21" fillId="0" borderId="0" xfId="0" applyFont="1"/>
    <xf numFmtId="0" fontId="22" fillId="0" borderId="58" xfId="0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right" vertical="center" wrapText="1"/>
    </xf>
    <xf numFmtId="0" fontId="22" fillId="0" borderId="48" xfId="0" applyFont="1" applyBorder="1" applyAlignment="1">
      <alignment horizontal="left" vertical="center"/>
    </xf>
    <xf numFmtId="10" fontId="21" fillId="0" borderId="8" xfId="0" applyNumberFormat="1" applyFont="1" applyBorder="1" applyAlignment="1">
      <alignment horizontal="right" vertical="center"/>
    </xf>
    <xf numFmtId="10" fontId="21" fillId="10" borderId="34" xfId="0" applyNumberFormat="1" applyFont="1" applyFill="1" applyBorder="1" applyAlignment="1">
      <alignment horizontal="right" vertical="center"/>
    </xf>
    <xf numFmtId="0" fontId="22" fillId="3" borderId="35" xfId="0" applyFont="1" applyFill="1" applyBorder="1" applyAlignment="1">
      <alignment horizontal="left" vertical="center"/>
    </xf>
    <xf numFmtId="3" fontId="6" fillId="10" borderId="34" xfId="0" applyNumberFormat="1" applyFont="1" applyFill="1" applyBorder="1" applyAlignment="1">
      <alignment horizontal="right" vertical="center"/>
    </xf>
    <xf numFmtId="3" fontId="6" fillId="10" borderId="38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13" fillId="0" borderId="2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2" fontId="6" fillId="8" borderId="0" xfId="0" applyNumberFormat="1" applyFont="1" applyFill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3" fontId="12" fillId="0" borderId="12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2" fontId="0" fillId="0" borderId="0" xfId="0" applyNumberFormat="1"/>
    <xf numFmtId="10" fontId="21" fillId="0" borderId="11" xfId="0" applyNumberFormat="1" applyFont="1" applyBorder="1" applyAlignment="1">
      <alignment horizontal="right" vertical="center"/>
    </xf>
    <xf numFmtId="3" fontId="0" fillId="0" borderId="0" xfId="0" applyNumberFormat="1"/>
    <xf numFmtId="1" fontId="15" fillId="9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9" borderId="0" xfId="0" applyFill="1"/>
    <xf numFmtId="0" fontId="5" fillId="9" borderId="0" xfId="0" applyFont="1" applyFill="1"/>
    <xf numFmtId="43" fontId="24" fillId="9" borderId="0" xfId="2" applyFont="1" applyFill="1"/>
    <xf numFmtId="0" fontId="24" fillId="9" borderId="0" xfId="0" applyFont="1" applyFill="1"/>
    <xf numFmtId="1" fontId="0" fillId="9" borderId="0" xfId="0" applyNumberFormat="1" applyFill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5" fillId="11" borderId="0" xfId="0" applyFont="1" applyFill="1"/>
    <xf numFmtId="0" fontId="0" fillId="11" borderId="0" xfId="0" applyFill="1"/>
    <xf numFmtId="0" fontId="26" fillId="11" borderId="0" xfId="0" applyFont="1" applyFill="1"/>
    <xf numFmtId="0" fontId="13" fillId="2" borderId="3" xfId="0" applyFont="1" applyFill="1" applyBorder="1" applyAlignment="1">
      <alignment horizontal="center" vertical="center" wrapText="1"/>
    </xf>
    <xf numFmtId="3" fontId="21" fillId="0" borderId="9" xfId="0" applyNumberFormat="1" applyFont="1" applyBorder="1" applyAlignment="1">
      <alignment horizontal="right" vertical="center" wrapText="1"/>
    </xf>
    <xf numFmtId="3" fontId="6" fillId="10" borderId="36" xfId="0" applyNumberFormat="1" applyFont="1" applyFill="1" applyBorder="1" applyAlignment="1">
      <alignment horizontal="right" vertical="center"/>
    </xf>
    <xf numFmtId="3" fontId="21" fillId="0" borderId="59" xfId="0" applyNumberFormat="1" applyFont="1" applyBorder="1" applyAlignment="1">
      <alignment horizontal="right" vertical="center" wrapText="1"/>
    </xf>
    <xf numFmtId="3" fontId="21" fillId="12" borderId="60" xfId="0" applyNumberFormat="1" applyFont="1" applyFill="1" applyBorder="1" applyAlignment="1">
      <alignment horizontal="right" vertical="center" wrapText="1"/>
    </xf>
    <xf numFmtId="3" fontId="21" fillId="12" borderId="61" xfId="0" applyNumberFormat="1" applyFont="1" applyFill="1" applyBorder="1" applyAlignment="1">
      <alignment horizontal="right" vertical="center" wrapText="1"/>
    </xf>
    <xf numFmtId="3" fontId="6" fillId="12" borderId="62" xfId="0" applyNumberFormat="1" applyFont="1" applyFill="1" applyBorder="1" applyAlignment="1">
      <alignment horizontal="right" vertical="center"/>
    </xf>
    <xf numFmtId="3" fontId="21" fillId="12" borderId="21" xfId="0" applyNumberFormat="1" applyFont="1" applyFill="1" applyBorder="1" applyAlignment="1">
      <alignment horizontal="right" vertical="center" wrapText="1"/>
    </xf>
    <xf numFmtId="3" fontId="21" fillId="12" borderId="27" xfId="0" applyNumberFormat="1" applyFont="1" applyFill="1" applyBorder="1" applyAlignment="1">
      <alignment horizontal="right" vertical="center" wrapText="1"/>
    </xf>
    <xf numFmtId="3" fontId="6" fillId="12" borderId="38" xfId="0" applyNumberFormat="1" applyFont="1" applyFill="1" applyBorder="1" applyAlignment="1">
      <alignment horizontal="right" vertical="center"/>
    </xf>
    <xf numFmtId="0" fontId="0" fillId="4" borderId="3" xfId="0" applyFill="1" applyBorder="1"/>
    <xf numFmtId="0" fontId="13" fillId="12" borderId="5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955D.D15499E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955D.D15499E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57150</xdr:rowOff>
    </xdr:from>
    <xdr:to>
      <xdr:col>1</xdr:col>
      <xdr:colOff>1238250</xdr:colOff>
      <xdr:row>0</xdr:row>
      <xdr:rowOff>790575</xdr:rowOff>
    </xdr:to>
    <xdr:pic>
      <xdr:nvPicPr>
        <xdr:cNvPr id="7" name="obrázek 1" descr="WWW">
          <a:extLst>
            <a:ext uri="{FF2B5EF4-FFF2-40B4-BE49-F238E27FC236}">
              <a16:creationId xmlns:a16="http://schemas.microsoft.com/office/drawing/2014/main" id="{838EB89F-14A7-4994-B50B-C3EE62E1D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150"/>
          <a:ext cx="1714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1104900</xdr:colOff>
      <xdr:row>0</xdr:row>
      <xdr:rowOff>733425</xdr:rowOff>
    </xdr:to>
    <xdr:pic>
      <xdr:nvPicPr>
        <xdr:cNvPr id="2" name="obrázek 1" descr="WWW">
          <a:extLst>
            <a:ext uri="{FF2B5EF4-FFF2-40B4-BE49-F238E27FC236}">
              <a16:creationId xmlns:a16="http://schemas.microsoft.com/office/drawing/2014/main" id="{A999EAA8-6177-F820-EC82-488229767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9C104-F3A9-465F-BA1E-2A66BA2BEEEC}">
  <sheetPr>
    <pageSetUpPr fitToPage="1"/>
  </sheetPr>
  <dimension ref="A1:X33"/>
  <sheetViews>
    <sheetView tabSelected="1" topLeftCell="C4" zoomScale="85" zoomScaleNormal="85" workbookViewId="0">
      <selection activeCell="H28" sqref="H28"/>
    </sheetView>
  </sheetViews>
  <sheetFormatPr defaultRowHeight="15" x14ac:dyDescent="0.25"/>
  <cols>
    <col min="1" max="1" width="11" customWidth="1"/>
    <col min="2" max="2" width="20.42578125" customWidth="1"/>
    <col min="3" max="6" width="14" customWidth="1"/>
    <col min="7" max="8" width="12.42578125" customWidth="1"/>
    <col min="9" max="9" width="7" customWidth="1"/>
    <col min="10" max="10" width="19" customWidth="1"/>
    <col min="11" max="16" width="14" customWidth="1"/>
    <col min="17" max="17" width="8.5703125" customWidth="1"/>
    <col min="18" max="18" width="18.140625" customWidth="1"/>
    <col min="19" max="23" width="14" customWidth="1"/>
    <col min="24" max="24" width="12.5703125" customWidth="1"/>
  </cols>
  <sheetData>
    <row r="1" spans="1:24" ht="65.25" customHeight="1" x14ac:dyDescent="0.25"/>
    <row r="2" spans="1:24" ht="27.75" customHeight="1" thickBot="1" x14ac:dyDescent="0.35">
      <c r="C2" s="239" t="s">
        <v>105</v>
      </c>
      <c r="D2" s="242"/>
      <c r="E2" s="242"/>
      <c r="F2" s="242"/>
      <c r="G2" s="242"/>
      <c r="H2" s="242"/>
      <c r="I2" s="242"/>
      <c r="J2" s="242"/>
      <c r="K2" s="241"/>
      <c r="L2" s="241"/>
      <c r="M2" s="241"/>
    </row>
    <row r="3" spans="1:24" ht="29.25" customHeight="1" thickBot="1" x14ac:dyDescent="0.3">
      <c r="B3" s="258" t="s">
        <v>103</v>
      </c>
      <c r="C3" s="259"/>
      <c r="D3" s="259"/>
      <c r="E3" s="259"/>
      <c r="F3" s="259"/>
      <c r="G3" s="259"/>
      <c r="H3" s="243"/>
      <c r="I3" s="177"/>
      <c r="J3" s="258" t="s">
        <v>104</v>
      </c>
      <c r="K3" s="259"/>
      <c r="L3" s="259"/>
      <c r="M3" s="259"/>
      <c r="N3" s="259"/>
      <c r="O3" s="259"/>
      <c r="P3" s="243"/>
      <c r="Q3" s="177"/>
      <c r="R3" s="258" t="s">
        <v>107</v>
      </c>
      <c r="S3" s="259"/>
      <c r="T3" s="259"/>
      <c r="U3" s="259"/>
      <c r="V3" s="259"/>
      <c r="W3" s="259"/>
      <c r="X3" s="253"/>
    </row>
    <row r="4" spans="1:24" ht="27.6" customHeight="1" x14ac:dyDescent="0.25">
      <c r="B4" s="256" t="s">
        <v>0</v>
      </c>
      <c r="C4" s="202" t="s">
        <v>1</v>
      </c>
      <c r="D4" s="202" t="s">
        <v>3</v>
      </c>
      <c r="E4" s="256" t="s">
        <v>5</v>
      </c>
      <c r="F4" s="202" t="s">
        <v>6</v>
      </c>
      <c r="G4" s="256" t="s">
        <v>109</v>
      </c>
      <c r="H4" s="254" t="s">
        <v>108</v>
      </c>
      <c r="I4" s="177"/>
      <c r="J4" s="256" t="s">
        <v>0</v>
      </c>
      <c r="K4" s="202" t="s">
        <v>1</v>
      </c>
      <c r="L4" s="202" t="s">
        <v>3</v>
      </c>
      <c r="M4" s="256" t="s">
        <v>5</v>
      </c>
      <c r="N4" s="202" t="s">
        <v>6</v>
      </c>
      <c r="O4" s="256" t="s">
        <v>109</v>
      </c>
      <c r="P4" s="254" t="s">
        <v>108</v>
      </c>
      <c r="Q4" s="177"/>
      <c r="R4" s="256" t="s">
        <v>0</v>
      </c>
      <c r="S4" s="202" t="s">
        <v>1</v>
      </c>
      <c r="T4" s="202" t="s">
        <v>3</v>
      </c>
      <c r="U4" s="256" t="s">
        <v>5</v>
      </c>
      <c r="V4" s="202" t="s">
        <v>6</v>
      </c>
      <c r="W4" s="256" t="s">
        <v>109</v>
      </c>
      <c r="X4" s="254" t="s">
        <v>108</v>
      </c>
    </row>
    <row r="5" spans="1:24" ht="25.5" x14ac:dyDescent="0.25">
      <c r="B5" s="256"/>
      <c r="C5" s="202" t="s">
        <v>2</v>
      </c>
      <c r="D5" s="202" t="s">
        <v>4</v>
      </c>
      <c r="E5" s="256"/>
      <c r="F5" s="202" t="s">
        <v>7</v>
      </c>
      <c r="G5" s="256"/>
      <c r="H5" s="254"/>
      <c r="I5" s="177"/>
      <c r="J5" s="256"/>
      <c r="K5" s="202" t="s">
        <v>2</v>
      </c>
      <c r="L5" s="202" t="s">
        <v>4</v>
      </c>
      <c r="M5" s="256"/>
      <c r="N5" s="202" t="s">
        <v>7</v>
      </c>
      <c r="O5" s="256"/>
      <c r="P5" s="254"/>
      <c r="Q5" s="177"/>
      <c r="R5" s="256"/>
      <c r="S5" s="202" t="s">
        <v>2</v>
      </c>
      <c r="T5" s="202" t="s">
        <v>4</v>
      </c>
      <c r="U5" s="256"/>
      <c r="V5" s="202" t="s">
        <v>7</v>
      </c>
      <c r="W5" s="256"/>
      <c r="X5" s="254"/>
    </row>
    <row r="6" spans="1:24" ht="15.75" thickBot="1" x14ac:dyDescent="0.3">
      <c r="B6" s="257"/>
      <c r="C6" s="203"/>
      <c r="D6" s="203"/>
      <c r="E6" s="257"/>
      <c r="F6" s="204" t="s">
        <v>4</v>
      </c>
      <c r="G6" s="257"/>
      <c r="H6" s="255"/>
      <c r="I6" s="177"/>
      <c r="J6" s="257"/>
      <c r="K6" s="203"/>
      <c r="L6" s="203"/>
      <c r="M6" s="257"/>
      <c r="N6" s="204" t="s">
        <v>4</v>
      </c>
      <c r="O6" s="257"/>
      <c r="P6" s="255"/>
      <c r="Q6" s="177"/>
      <c r="R6" s="257"/>
      <c r="S6" s="203"/>
      <c r="T6" s="203"/>
      <c r="U6" s="257"/>
      <c r="V6" s="204" t="s">
        <v>4</v>
      </c>
      <c r="W6" s="257"/>
      <c r="X6" s="255"/>
    </row>
    <row r="7" spans="1:24" ht="20.25" customHeight="1" x14ac:dyDescent="0.25">
      <c r="A7" s="182"/>
      <c r="B7" s="205" t="s">
        <v>8</v>
      </c>
      <c r="C7" s="207">
        <v>0.30386536614277437</v>
      </c>
      <c r="D7" s="212">
        <f t="shared" ref="D7:D27" si="0">C7*$D$28</f>
        <v>154576.31175682932</v>
      </c>
      <c r="E7" s="212">
        <f>1.035*D7</f>
        <v>159986.48266831835</v>
      </c>
      <c r="F7" s="212">
        <f t="shared" ref="F7:F27" si="1">C7*$F$28</f>
        <v>9738.3076406802465</v>
      </c>
      <c r="G7" s="246">
        <f t="shared" ref="G7:G27" si="2">E7+F7</f>
        <v>169724.79030899861</v>
      </c>
      <c r="H7" s="247">
        <f>G7*1.21</f>
        <v>205366.9962738883</v>
      </c>
      <c r="I7" s="210"/>
      <c r="J7" s="211" t="s">
        <v>8</v>
      </c>
      <c r="K7" s="207">
        <v>0.30386536614277437</v>
      </c>
      <c r="L7" s="212">
        <f t="shared" ref="L7:L26" si="3">K7*$L$28</f>
        <v>154576.31175682932</v>
      </c>
      <c r="M7" s="212">
        <f>1.035*L7</f>
        <v>159986.48266831835</v>
      </c>
      <c r="N7" s="212">
        <f t="shared" ref="N7:N26" si="4">K7*$N$28</f>
        <v>9738.3076406802465</v>
      </c>
      <c r="O7" s="209">
        <f>(M7+N7)*0.3</f>
        <v>50917.437092699583</v>
      </c>
      <c r="P7" s="250">
        <f>O7*1.21</f>
        <v>61610.098882166494</v>
      </c>
      <c r="Q7" s="210"/>
      <c r="R7" s="211" t="s">
        <v>8</v>
      </c>
      <c r="S7" s="207">
        <v>0.30386536614277437</v>
      </c>
      <c r="T7" s="212">
        <f t="shared" ref="T7:T27" si="5">S7*$T$28</f>
        <v>154576.31175682932</v>
      </c>
      <c r="U7" s="212">
        <f>1.035*T7</f>
        <v>159986.48266831835</v>
      </c>
      <c r="V7" s="212">
        <f t="shared" ref="V7:V27" si="6">S7*$V$28</f>
        <v>9738.3076406802465</v>
      </c>
      <c r="W7" s="209">
        <f>(U7+V7)*0.1</f>
        <v>16972.47903089986</v>
      </c>
      <c r="X7" s="250">
        <f>W7*1.21</f>
        <v>20536.699627388829</v>
      </c>
    </row>
    <row r="8" spans="1:24" ht="20.25" customHeight="1" x14ac:dyDescent="0.25">
      <c r="A8" s="182"/>
      <c r="B8" s="136" t="s">
        <v>9</v>
      </c>
      <c r="C8" s="214">
        <v>9.7689777481938259E-2</v>
      </c>
      <c r="D8" s="208">
        <f t="shared" si="0"/>
        <v>49694.789805061992</v>
      </c>
      <c r="E8" s="208">
        <f t="shared" ref="E8:E27" si="7">1.035*D8</f>
        <v>51434.107448239156</v>
      </c>
      <c r="F8" s="208">
        <f t="shared" si="1"/>
        <v>3130.7717577189055</v>
      </c>
      <c r="G8" s="244">
        <f t="shared" si="2"/>
        <v>54564.879205958059</v>
      </c>
      <c r="H8" s="248">
        <f t="shared" ref="H8:H27" si="8">G8*1.21</f>
        <v>66023.503839209254</v>
      </c>
      <c r="I8" s="210"/>
      <c r="J8" s="213" t="s">
        <v>9</v>
      </c>
      <c r="K8" s="214">
        <v>9.7689777481938259E-2</v>
      </c>
      <c r="L8" s="208">
        <f t="shared" si="3"/>
        <v>49694.789805061992</v>
      </c>
      <c r="M8" s="208">
        <f t="shared" ref="M8:M27" si="9">1.035*L8</f>
        <v>51434.107448239156</v>
      </c>
      <c r="N8" s="208">
        <f t="shared" si="4"/>
        <v>3130.7717577189055</v>
      </c>
      <c r="O8" s="209">
        <f t="shared" ref="O8:O27" si="10">(M8+N8)*0.3</f>
        <v>16369.463761787418</v>
      </c>
      <c r="P8" s="251">
        <f t="shared" ref="P8:P27" si="11">O8*1.21</f>
        <v>19807.051151762775</v>
      </c>
      <c r="Q8" s="210"/>
      <c r="R8" s="213" t="s">
        <v>9</v>
      </c>
      <c r="S8" s="214">
        <v>9.7689777481938259E-2</v>
      </c>
      <c r="T8" s="208">
        <f t="shared" si="5"/>
        <v>49694.789805061992</v>
      </c>
      <c r="U8" s="208">
        <f t="shared" ref="U8:U27" si="12">1.035*T8</f>
        <v>51434.107448239156</v>
      </c>
      <c r="V8" s="208">
        <f t="shared" si="6"/>
        <v>3130.7717577189055</v>
      </c>
      <c r="W8" s="209">
        <f t="shared" ref="W8:W27" si="13">(U8+V8)*0.1</f>
        <v>5456.4879205958059</v>
      </c>
      <c r="X8" s="251">
        <f t="shared" ref="X8:X26" si="14">W8*1.21</f>
        <v>6602.3503839209252</v>
      </c>
    </row>
    <row r="9" spans="1:24" ht="20.25" customHeight="1" x14ac:dyDescent="0.25">
      <c r="A9" s="182"/>
      <c r="B9" s="136" t="s">
        <v>10</v>
      </c>
      <c r="C9" s="214">
        <v>0.13963847068648788</v>
      </c>
      <c r="D9" s="208">
        <f t="shared" si="0"/>
        <v>71034.090038216382</v>
      </c>
      <c r="E9" s="208">
        <f t="shared" si="7"/>
        <v>73520.283189553957</v>
      </c>
      <c r="F9" s="208">
        <f t="shared" si="1"/>
        <v>4475.1476724076319</v>
      </c>
      <c r="G9" s="244">
        <f t="shared" si="2"/>
        <v>77995.430861961591</v>
      </c>
      <c r="H9" s="248">
        <f t="shared" si="8"/>
        <v>94374.471342973527</v>
      </c>
      <c r="I9" s="210"/>
      <c r="J9" s="213" t="s">
        <v>10</v>
      </c>
      <c r="K9" s="214">
        <v>0.13963847068648788</v>
      </c>
      <c r="L9" s="208">
        <f t="shared" si="3"/>
        <v>71034.090038216382</v>
      </c>
      <c r="M9" s="208">
        <f t="shared" si="9"/>
        <v>73520.283189553957</v>
      </c>
      <c r="N9" s="208">
        <f t="shared" si="4"/>
        <v>4475.1476724076319</v>
      </c>
      <c r="O9" s="209">
        <f t="shared" si="10"/>
        <v>23398.629258588477</v>
      </c>
      <c r="P9" s="251">
        <f t="shared" si="11"/>
        <v>28312.341402892056</v>
      </c>
      <c r="Q9" s="210"/>
      <c r="R9" s="213" t="s">
        <v>10</v>
      </c>
      <c r="S9" s="214">
        <v>0.13963847068648788</v>
      </c>
      <c r="T9" s="208">
        <f t="shared" si="5"/>
        <v>71034.090038216382</v>
      </c>
      <c r="U9" s="208">
        <f t="shared" si="12"/>
        <v>73520.283189553957</v>
      </c>
      <c r="V9" s="208">
        <f t="shared" si="6"/>
        <v>4475.1476724076319</v>
      </c>
      <c r="W9" s="209">
        <f t="shared" si="13"/>
        <v>7799.5430861961595</v>
      </c>
      <c r="X9" s="251">
        <f t="shared" si="14"/>
        <v>9437.447134297352</v>
      </c>
    </row>
    <row r="10" spans="1:24" ht="20.25" customHeight="1" x14ac:dyDescent="0.25">
      <c r="A10" s="182"/>
      <c r="B10" s="136" t="s">
        <v>11</v>
      </c>
      <c r="C10" s="214">
        <v>2.2467883412929532E-2</v>
      </c>
      <c r="D10" s="208">
        <f t="shared" si="0"/>
        <v>11429.412292157253</v>
      </c>
      <c r="E10" s="208">
        <f t="shared" si="7"/>
        <v>11829.441722382755</v>
      </c>
      <c r="F10" s="208">
        <f t="shared" si="1"/>
        <v>720.05297440590687</v>
      </c>
      <c r="G10" s="244">
        <f t="shared" si="2"/>
        <v>12549.494696788663</v>
      </c>
      <c r="H10" s="248">
        <f t="shared" si="8"/>
        <v>15184.888583114282</v>
      </c>
      <c r="I10" s="210"/>
      <c r="J10" s="213" t="s">
        <v>11</v>
      </c>
      <c r="K10" s="214">
        <v>2.2467883412929532E-2</v>
      </c>
      <c r="L10" s="208">
        <f t="shared" si="3"/>
        <v>11429.412292157253</v>
      </c>
      <c r="M10" s="208">
        <f t="shared" si="9"/>
        <v>11829.441722382755</v>
      </c>
      <c r="N10" s="208">
        <f t="shared" si="4"/>
        <v>720.05297440590687</v>
      </c>
      <c r="O10" s="209">
        <f t="shared" si="10"/>
        <v>3764.8484090365987</v>
      </c>
      <c r="P10" s="251">
        <f t="shared" si="11"/>
        <v>4555.4665749342839</v>
      </c>
      <c r="Q10" s="210"/>
      <c r="R10" s="213" t="s">
        <v>11</v>
      </c>
      <c r="S10" s="214">
        <v>2.2467883412929532E-2</v>
      </c>
      <c r="T10" s="208">
        <f t="shared" si="5"/>
        <v>11429.412292157253</v>
      </c>
      <c r="U10" s="208">
        <f t="shared" si="12"/>
        <v>11829.441722382755</v>
      </c>
      <c r="V10" s="208">
        <f t="shared" si="6"/>
        <v>720.05297440590687</v>
      </c>
      <c r="W10" s="209">
        <f t="shared" si="13"/>
        <v>1254.9494696788663</v>
      </c>
      <c r="X10" s="251">
        <f t="shared" si="14"/>
        <v>1518.4888583114282</v>
      </c>
    </row>
    <row r="11" spans="1:24" ht="20.25" customHeight="1" x14ac:dyDescent="0.25">
      <c r="A11" s="182"/>
      <c r="B11" s="136" t="s">
        <v>12</v>
      </c>
      <c r="C11" s="214">
        <v>6.8266739254793887E-2</v>
      </c>
      <c r="D11" s="208">
        <f t="shared" si="0"/>
        <v>34727.29025891365</v>
      </c>
      <c r="E11" s="208">
        <f t="shared" si="7"/>
        <v>35942.745417975624</v>
      </c>
      <c r="F11" s="208">
        <f t="shared" si="1"/>
        <v>2187.8192863115601</v>
      </c>
      <c r="G11" s="244">
        <f t="shared" si="2"/>
        <v>38130.564704287186</v>
      </c>
      <c r="H11" s="248">
        <f t="shared" si="8"/>
        <v>46137.983292187491</v>
      </c>
      <c r="I11" s="210"/>
      <c r="J11" s="213" t="s">
        <v>12</v>
      </c>
      <c r="K11" s="214">
        <v>6.8266739254793887E-2</v>
      </c>
      <c r="L11" s="208">
        <f t="shared" si="3"/>
        <v>34727.29025891365</v>
      </c>
      <c r="M11" s="208">
        <f t="shared" si="9"/>
        <v>35942.745417975624</v>
      </c>
      <c r="N11" s="208">
        <f t="shared" si="4"/>
        <v>2187.8192863115601</v>
      </c>
      <c r="O11" s="209">
        <f t="shared" si="10"/>
        <v>11439.169411286155</v>
      </c>
      <c r="P11" s="251">
        <f t="shared" si="11"/>
        <v>13841.394987656247</v>
      </c>
      <c r="Q11" s="210"/>
      <c r="R11" s="213" t="s">
        <v>12</v>
      </c>
      <c r="S11" s="214">
        <v>6.8266739254793887E-2</v>
      </c>
      <c r="T11" s="208">
        <f t="shared" si="5"/>
        <v>34727.29025891365</v>
      </c>
      <c r="U11" s="208">
        <f t="shared" si="12"/>
        <v>35942.745417975624</v>
      </c>
      <c r="V11" s="208">
        <f t="shared" si="6"/>
        <v>2187.8192863115601</v>
      </c>
      <c r="W11" s="209">
        <f t="shared" si="13"/>
        <v>3813.056470428719</v>
      </c>
      <c r="X11" s="251">
        <f t="shared" si="14"/>
        <v>4613.79832921875</v>
      </c>
    </row>
    <row r="12" spans="1:24" ht="20.25" customHeight="1" x14ac:dyDescent="0.25">
      <c r="A12" s="182"/>
      <c r="B12" s="136" t="s">
        <v>13</v>
      </c>
      <c r="C12" s="214">
        <v>4.3902991245642904E-2</v>
      </c>
      <c r="D12" s="208">
        <f t="shared" si="0"/>
        <v>22333.451646658545</v>
      </c>
      <c r="E12" s="208">
        <f t="shared" si="7"/>
        <v>23115.122454291592</v>
      </c>
      <c r="F12" s="208">
        <f t="shared" si="1"/>
        <v>1407.0074537394883</v>
      </c>
      <c r="G12" s="244">
        <f t="shared" si="2"/>
        <v>24522.129908031078</v>
      </c>
      <c r="H12" s="248">
        <f t="shared" si="8"/>
        <v>29671.777188717602</v>
      </c>
      <c r="I12" s="210"/>
      <c r="J12" s="213" t="s">
        <v>13</v>
      </c>
      <c r="K12" s="214">
        <v>4.3902991245642904E-2</v>
      </c>
      <c r="L12" s="208">
        <f t="shared" si="3"/>
        <v>22333.451646658545</v>
      </c>
      <c r="M12" s="208">
        <f t="shared" si="9"/>
        <v>23115.122454291592</v>
      </c>
      <c r="N12" s="208">
        <f t="shared" si="4"/>
        <v>1407.0074537394883</v>
      </c>
      <c r="O12" s="209">
        <f t="shared" si="10"/>
        <v>7356.6389724093233</v>
      </c>
      <c r="P12" s="251">
        <f t="shared" si="11"/>
        <v>8901.5331566152818</v>
      </c>
      <c r="Q12" s="210"/>
      <c r="R12" s="213" t="s">
        <v>13</v>
      </c>
      <c r="S12" s="214">
        <v>4.3902991245642904E-2</v>
      </c>
      <c r="T12" s="208">
        <f t="shared" si="5"/>
        <v>22333.451646658545</v>
      </c>
      <c r="U12" s="208">
        <f t="shared" si="12"/>
        <v>23115.122454291592</v>
      </c>
      <c r="V12" s="208">
        <f t="shared" si="6"/>
        <v>1407.0074537394883</v>
      </c>
      <c r="W12" s="209">
        <f t="shared" si="13"/>
        <v>2452.2129908031079</v>
      </c>
      <c r="X12" s="251">
        <f t="shared" si="14"/>
        <v>2967.1777188717606</v>
      </c>
    </row>
    <row r="13" spans="1:24" ht="20.25" customHeight="1" x14ac:dyDescent="0.25">
      <c r="A13" s="182"/>
      <c r="B13" s="136" t="s">
        <v>14</v>
      </c>
      <c r="C13" s="214">
        <v>3.5350871438262772E-2</v>
      </c>
      <c r="D13" s="208">
        <f t="shared" si="0"/>
        <v>17982.988300644272</v>
      </c>
      <c r="E13" s="208">
        <f t="shared" si="7"/>
        <v>18612.392891166819</v>
      </c>
      <c r="F13" s="208">
        <f t="shared" si="1"/>
        <v>1132.9282629405891</v>
      </c>
      <c r="G13" s="244">
        <f t="shared" si="2"/>
        <v>19745.321154107409</v>
      </c>
      <c r="H13" s="248">
        <f t="shared" si="8"/>
        <v>23891.838596469963</v>
      </c>
      <c r="I13" s="210"/>
      <c r="J13" s="213" t="s">
        <v>14</v>
      </c>
      <c r="K13" s="214">
        <v>3.5350871438262772E-2</v>
      </c>
      <c r="L13" s="208">
        <f t="shared" si="3"/>
        <v>17982.988300644272</v>
      </c>
      <c r="M13" s="208">
        <f t="shared" si="9"/>
        <v>18612.392891166819</v>
      </c>
      <c r="N13" s="208">
        <f t="shared" si="4"/>
        <v>1132.9282629405891</v>
      </c>
      <c r="O13" s="209">
        <f t="shared" si="10"/>
        <v>5923.5963462322225</v>
      </c>
      <c r="P13" s="251">
        <f t="shared" si="11"/>
        <v>7167.5515789409892</v>
      </c>
      <c r="Q13" s="210"/>
      <c r="R13" s="213" t="s">
        <v>14</v>
      </c>
      <c r="S13" s="214">
        <v>3.5350871438262772E-2</v>
      </c>
      <c r="T13" s="208">
        <f t="shared" si="5"/>
        <v>17982.988300644272</v>
      </c>
      <c r="U13" s="208">
        <f t="shared" si="12"/>
        <v>18612.392891166819</v>
      </c>
      <c r="V13" s="208">
        <f t="shared" si="6"/>
        <v>1132.9282629405891</v>
      </c>
      <c r="W13" s="209">
        <f t="shared" si="13"/>
        <v>1974.532115410741</v>
      </c>
      <c r="X13" s="251">
        <f t="shared" si="14"/>
        <v>2389.1838596469966</v>
      </c>
    </row>
    <row r="14" spans="1:24" ht="20.25" customHeight="1" x14ac:dyDescent="0.25">
      <c r="A14" s="182"/>
      <c r="B14" s="136" t="s">
        <v>16</v>
      </c>
      <c r="C14" s="214">
        <v>4.1585513559778749E-2</v>
      </c>
      <c r="D14" s="208">
        <f t="shared" si="0"/>
        <v>21154.550747859448</v>
      </c>
      <c r="E14" s="208">
        <f t="shared" si="7"/>
        <v>21894.960024034528</v>
      </c>
      <c r="F14" s="208">
        <f t="shared" si="1"/>
        <v>1332.7366971151453</v>
      </c>
      <c r="G14" s="244">
        <f t="shared" si="2"/>
        <v>23227.696721149674</v>
      </c>
      <c r="H14" s="248">
        <f t="shared" si="8"/>
        <v>28105.513032591105</v>
      </c>
      <c r="I14" s="210"/>
      <c r="J14" s="213" t="s">
        <v>16</v>
      </c>
      <c r="K14" s="214">
        <v>4.1585513559778749E-2</v>
      </c>
      <c r="L14" s="208">
        <f t="shared" si="3"/>
        <v>21154.550747859448</v>
      </c>
      <c r="M14" s="208">
        <f t="shared" si="9"/>
        <v>21894.960024034528</v>
      </c>
      <c r="N14" s="208">
        <f t="shared" si="4"/>
        <v>1332.7366971151453</v>
      </c>
      <c r="O14" s="209">
        <f t="shared" si="10"/>
        <v>6968.3090163449024</v>
      </c>
      <c r="P14" s="251">
        <f t="shared" si="11"/>
        <v>8431.6539097773311</v>
      </c>
      <c r="Q14" s="210"/>
      <c r="R14" s="213" t="s">
        <v>16</v>
      </c>
      <c r="S14" s="214">
        <v>4.1585513559778749E-2</v>
      </c>
      <c r="T14" s="208">
        <f t="shared" si="5"/>
        <v>21154.550747859448</v>
      </c>
      <c r="U14" s="208">
        <f t="shared" si="12"/>
        <v>21894.960024034528</v>
      </c>
      <c r="V14" s="208">
        <f t="shared" si="6"/>
        <v>1332.7366971151453</v>
      </c>
      <c r="W14" s="209">
        <f t="shared" si="13"/>
        <v>2322.7696721149673</v>
      </c>
      <c r="X14" s="251">
        <f t="shared" si="14"/>
        <v>2810.5513032591102</v>
      </c>
    </row>
    <row r="15" spans="1:24" ht="20.25" customHeight="1" x14ac:dyDescent="0.25">
      <c r="A15" s="182"/>
      <c r="B15" s="136" t="s">
        <v>17</v>
      </c>
      <c r="C15" s="214">
        <v>2.2326266152742486E-2</v>
      </c>
      <c r="D15" s="208">
        <f t="shared" si="0"/>
        <v>11357.371591900102</v>
      </c>
      <c r="E15" s="208">
        <f t="shared" si="7"/>
        <v>11754.879597616606</v>
      </c>
      <c r="F15" s="208">
        <f t="shared" si="1"/>
        <v>715.51441028970646</v>
      </c>
      <c r="G15" s="244">
        <f t="shared" si="2"/>
        <v>12470.394007906312</v>
      </c>
      <c r="H15" s="248">
        <f t="shared" si="8"/>
        <v>15089.176749566637</v>
      </c>
      <c r="I15" s="210"/>
      <c r="J15" s="213" t="s">
        <v>17</v>
      </c>
      <c r="K15" s="214">
        <v>2.2326266152742486E-2</v>
      </c>
      <c r="L15" s="208">
        <f t="shared" si="3"/>
        <v>11357.371591900102</v>
      </c>
      <c r="M15" s="208">
        <f t="shared" si="9"/>
        <v>11754.879597616606</v>
      </c>
      <c r="N15" s="208">
        <f t="shared" si="4"/>
        <v>715.51441028970646</v>
      </c>
      <c r="O15" s="209">
        <f t="shared" si="10"/>
        <v>3741.1182023718934</v>
      </c>
      <c r="P15" s="251">
        <f t="shared" si="11"/>
        <v>4526.7530248699904</v>
      </c>
      <c r="Q15" s="210"/>
      <c r="R15" s="213" t="s">
        <v>17</v>
      </c>
      <c r="S15" s="214">
        <v>2.2326266152742486E-2</v>
      </c>
      <c r="T15" s="208">
        <f t="shared" si="5"/>
        <v>11357.371591900102</v>
      </c>
      <c r="U15" s="208">
        <f t="shared" si="12"/>
        <v>11754.879597616606</v>
      </c>
      <c r="V15" s="208">
        <f t="shared" si="6"/>
        <v>715.51441028970646</v>
      </c>
      <c r="W15" s="209">
        <f t="shared" si="13"/>
        <v>1247.0394007906314</v>
      </c>
      <c r="X15" s="251">
        <f t="shared" si="14"/>
        <v>1508.9176749566639</v>
      </c>
    </row>
    <row r="16" spans="1:24" ht="20.25" customHeight="1" x14ac:dyDescent="0.25">
      <c r="A16" s="182"/>
      <c r="B16" s="136" t="s">
        <v>19</v>
      </c>
      <c r="C16" s="214">
        <v>2.0986690183577933E-2</v>
      </c>
      <c r="D16" s="208">
        <f t="shared" si="0"/>
        <v>10675.929296386095</v>
      </c>
      <c r="E16" s="208">
        <f t="shared" si="7"/>
        <v>11049.586821759607</v>
      </c>
      <c r="F16" s="208">
        <f t="shared" si="1"/>
        <v>672.58354567232391</v>
      </c>
      <c r="G16" s="244">
        <f t="shared" si="2"/>
        <v>11722.170367431931</v>
      </c>
      <c r="H16" s="248">
        <f t="shared" si="8"/>
        <v>14183.826144592636</v>
      </c>
      <c r="I16" s="210"/>
      <c r="J16" s="213" t="s">
        <v>19</v>
      </c>
      <c r="K16" s="214">
        <v>2.0986690183577933E-2</v>
      </c>
      <c r="L16" s="208">
        <f t="shared" si="3"/>
        <v>10675.929296386095</v>
      </c>
      <c r="M16" s="208">
        <f t="shared" si="9"/>
        <v>11049.586821759607</v>
      </c>
      <c r="N16" s="208">
        <f t="shared" si="4"/>
        <v>672.58354567232391</v>
      </c>
      <c r="O16" s="209">
        <f t="shared" si="10"/>
        <v>3516.651110229579</v>
      </c>
      <c r="P16" s="251">
        <f t="shared" si="11"/>
        <v>4255.1478433777902</v>
      </c>
      <c r="Q16" s="210"/>
      <c r="R16" s="213" t="s">
        <v>19</v>
      </c>
      <c r="S16" s="214">
        <v>2.0986690183577933E-2</v>
      </c>
      <c r="T16" s="208">
        <f t="shared" si="5"/>
        <v>10675.929296386095</v>
      </c>
      <c r="U16" s="208">
        <f t="shared" si="12"/>
        <v>11049.586821759607</v>
      </c>
      <c r="V16" s="208">
        <f t="shared" si="6"/>
        <v>672.58354567232391</v>
      </c>
      <c r="W16" s="209">
        <f t="shared" si="13"/>
        <v>1172.2170367431931</v>
      </c>
      <c r="X16" s="251">
        <f t="shared" si="14"/>
        <v>1418.3826144592638</v>
      </c>
    </row>
    <row r="17" spans="1:24" ht="20.25" customHeight="1" x14ac:dyDescent="0.25">
      <c r="A17" s="182"/>
      <c r="B17" s="136" t="s">
        <v>20</v>
      </c>
      <c r="C17" s="214">
        <v>7.8055085553812844E-3</v>
      </c>
      <c r="D17" s="208">
        <f t="shared" si="0"/>
        <v>3970.6622021224593</v>
      </c>
      <c r="E17" s="208">
        <f t="shared" si="7"/>
        <v>4109.6353791967449</v>
      </c>
      <c r="F17" s="208">
        <f t="shared" si="1"/>
        <v>250.15171873371494</v>
      </c>
      <c r="G17" s="244">
        <f t="shared" si="2"/>
        <v>4359.7870979304598</v>
      </c>
      <c r="H17" s="248">
        <f t="shared" si="8"/>
        <v>5275.3423884958565</v>
      </c>
      <c r="I17" s="210"/>
      <c r="J17" s="213" t="s">
        <v>20</v>
      </c>
      <c r="K17" s="214">
        <v>7.8055085553812844E-3</v>
      </c>
      <c r="L17" s="208">
        <f t="shared" si="3"/>
        <v>3970.6622021224593</v>
      </c>
      <c r="M17" s="208">
        <f t="shared" si="9"/>
        <v>4109.6353791967449</v>
      </c>
      <c r="N17" s="208">
        <f t="shared" si="4"/>
        <v>250.15171873371494</v>
      </c>
      <c r="O17" s="209">
        <f t="shared" si="10"/>
        <v>1307.9361293791378</v>
      </c>
      <c r="P17" s="251">
        <f t="shared" si="11"/>
        <v>1582.6027165487567</v>
      </c>
      <c r="Q17" s="210"/>
      <c r="R17" s="213" t="s">
        <v>20</v>
      </c>
      <c r="S17" s="214">
        <v>7.8055085553812844E-3</v>
      </c>
      <c r="T17" s="208">
        <f t="shared" si="5"/>
        <v>3970.6622021224593</v>
      </c>
      <c r="U17" s="208">
        <f t="shared" si="12"/>
        <v>4109.6353791967449</v>
      </c>
      <c r="V17" s="208">
        <f t="shared" si="6"/>
        <v>250.15171873371494</v>
      </c>
      <c r="W17" s="209">
        <f t="shared" si="13"/>
        <v>435.97870979304599</v>
      </c>
      <c r="X17" s="251">
        <f t="shared" si="14"/>
        <v>527.53423884958568</v>
      </c>
    </row>
    <row r="18" spans="1:24" ht="20.25" customHeight="1" x14ac:dyDescent="0.25">
      <c r="A18" s="182"/>
      <c r="B18" s="136" t="s">
        <v>21</v>
      </c>
      <c r="C18" s="214">
        <v>2.4112367444961882E-2</v>
      </c>
      <c r="D18" s="208">
        <f t="shared" si="0"/>
        <v>12265.96131925211</v>
      </c>
      <c r="E18" s="208">
        <f t="shared" si="7"/>
        <v>12695.269965425932</v>
      </c>
      <c r="F18" s="208">
        <f t="shared" si="1"/>
        <v>772.7555631128829</v>
      </c>
      <c r="G18" s="244">
        <f t="shared" si="2"/>
        <v>13468.025528538816</v>
      </c>
      <c r="H18" s="248">
        <f t="shared" si="8"/>
        <v>16296.310889531967</v>
      </c>
      <c r="I18" s="210"/>
      <c r="J18" s="213" t="s">
        <v>21</v>
      </c>
      <c r="K18" s="214">
        <v>2.4112367444961882E-2</v>
      </c>
      <c r="L18" s="208">
        <f t="shared" si="3"/>
        <v>12265.96131925211</v>
      </c>
      <c r="M18" s="208">
        <f t="shared" si="9"/>
        <v>12695.269965425932</v>
      </c>
      <c r="N18" s="208">
        <f t="shared" si="4"/>
        <v>772.7555631128829</v>
      </c>
      <c r="O18" s="209">
        <f t="shared" si="10"/>
        <v>4040.4076585616444</v>
      </c>
      <c r="P18" s="251">
        <f t="shared" si="11"/>
        <v>4888.8932668595899</v>
      </c>
      <c r="Q18" s="210"/>
      <c r="R18" s="213" t="s">
        <v>21</v>
      </c>
      <c r="S18" s="214">
        <v>2.4112367444961882E-2</v>
      </c>
      <c r="T18" s="208">
        <f t="shared" si="5"/>
        <v>12265.96131925211</v>
      </c>
      <c r="U18" s="208">
        <f t="shared" si="12"/>
        <v>12695.269965425932</v>
      </c>
      <c r="V18" s="208">
        <f t="shared" si="6"/>
        <v>772.7555631128829</v>
      </c>
      <c r="W18" s="209">
        <f t="shared" si="13"/>
        <v>1346.8025528538817</v>
      </c>
      <c r="X18" s="251">
        <f t="shared" si="14"/>
        <v>1629.6310889531969</v>
      </c>
    </row>
    <row r="19" spans="1:24" ht="20.25" customHeight="1" x14ac:dyDescent="0.25">
      <c r="A19" s="182"/>
      <c r="B19" s="136" t="s">
        <v>22</v>
      </c>
      <c r="C19" s="214">
        <v>1.6967962276084284E-2</v>
      </c>
      <c r="D19" s="208">
        <f t="shared" si="0"/>
        <v>8631.6024098440757</v>
      </c>
      <c r="E19" s="208">
        <f t="shared" si="7"/>
        <v>8933.7084941886169</v>
      </c>
      <c r="F19" s="208">
        <f t="shared" si="1"/>
        <v>543.7909518201767</v>
      </c>
      <c r="G19" s="244">
        <f t="shared" si="2"/>
        <v>9477.4994460087928</v>
      </c>
      <c r="H19" s="248">
        <f t="shared" si="8"/>
        <v>11467.774329670639</v>
      </c>
      <c r="I19" s="210"/>
      <c r="J19" s="213" t="s">
        <v>22</v>
      </c>
      <c r="K19" s="214">
        <v>1.6967962276084284E-2</v>
      </c>
      <c r="L19" s="208">
        <f t="shared" si="3"/>
        <v>8631.6024098440757</v>
      </c>
      <c r="M19" s="208">
        <f t="shared" si="9"/>
        <v>8933.7084941886169</v>
      </c>
      <c r="N19" s="208">
        <f t="shared" si="4"/>
        <v>543.7909518201767</v>
      </c>
      <c r="O19" s="209">
        <f t="shared" si="10"/>
        <v>2843.2498338026376</v>
      </c>
      <c r="P19" s="251">
        <f t="shared" si="11"/>
        <v>3440.3322989011913</v>
      </c>
      <c r="Q19" s="210"/>
      <c r="R19" s="213" t="s">
        <v>22</v>
      </c>
      <c r="S19" s="214">
        <v>1.6967962276084284E-2</v>
      </c>
      <c r="T19" s="208">
        <f t="shared" si="5"/>
        <v>8631.6024098440757</v>
      </c>
      <c r="U19" s="208">
        <f t="shared" si="12"/>
        <v>8933.7084941886169</v>
      </c>
      <c r="V19" s="208">
        <f t="shared" si="6"/>
        <v>543.7909518201767</v>
      </c>
      <c r="W19" s="209">
        <f t="shared" si="13"/>
        <v>947.7499446008793</v>
      </c>
      <c r="X19" s="251">
        <f t="shared" si="14"/>
        <v>1146.777432967064</v>
      </c>
    </row>
    <row r="20" spans="1:24" ht="20.25" customHeight="1" x14ac:dyDescent="0.25">
      <c r="A20" s="182"/>
      <c r="B20" s="136" t="s">
        <v>23</v>
      </c>
      <c r="C20" s="214">
        <v>3.4828975198278274E-2</v>
      </c>
      <c r="D20" s="208">
        <f t="shared" si="0"/>
        <v>17717.499683364156</v>
      </c>
      <c r="E20" s="208">
        <f t="shared" si="7"/>
        <v>18337.612172281901</v>
      </c>
      <c r="F20" s="208">
        <f t="shared" si="1"/>
        <v>1116.2024800519418</v>
      </c>
      <c r="G20" s="244">
        <f t="shared" si="2"/>
        <v>19453.814652333844</v>
      </c>
      <c r="H20" s="248">
        <f t="shared" si="8"/>
        <v>23539.115729323948</v>
      </c>
      <c r="I20" s="210"/>
      <c r="J20" s="213" t="s">
        <v>23</v>
      </c>
      <c r="K20" s="214">
        <v>3.4828975198278274E-2</v>
      </c>
      <c r="L20" s="208">
        <f t="shared" si="3"/>
        <v>17717.499683364156</v>
      </c>
      <c r="M20" s="208">
        <f t="shared" si="9"/>
        <v>18337.612172281901</v>
      </c>
      <c r="N20" s="208">
        <f t="shared" si="4"/>
        <v>1116.2024800519418</v>
      </c>
      <c r="O20" s="209">
        <f t="shared" si="10"/>
        <v>5836.1443957001529</v>
      </c>
      <c r="P20" s="251">
        <f t="shared" si="11"/>
        <v>7061.7347187971845</v>
      </c>
      <c r="Q20" s="210"/>
      <c r="R20" s="213" t="s">
        <v>23</v>
      </c>
      <c r="S20" s="214">
        <v>3.4828975198278274E-2</v>
      </c>
      <c r="T20" s="208">
        <f t="shared" si="5"/>
        <v>17717.499683364156</v>
      </c>
      <c r="U20" s="208">
        <f t="shared" si="12"/>
        <v>18337.612172281901</v>
      </c>
      <c r="V20" s="208">
        <f t="shared" si="6"/>
        <v>1116.2024800519418</v>
      </c>
      <c r="W20" s="209">
        <f t="shared" si="13"/>
        <v>1945.3814652333845</v>
      </c>
      <c r="X20" s="251">
        <f t="shared" si="14"/>
        <v>2353.9115729323953</v>
      </c>
    </row>
    <row r="21" spans="1:24" ht="20.25" customHeight="1" x14ac:dyDescent="0.25">
      <c r="A21" s="182"/>
      <c r="B21" s="136" t="s">
        <v>24</v>
      </c>
      <c r="C21" s="214">
        <v>1.5628386306919734E-2</v>
      </c>
      <c r="D21" s="208">
        <f t="shared" si="0"/>
        <v>7950.1601143300686</v>
      </c>
      <c r="E21" s="208">
        <f t="shared" si="7"/>
        <v>8228.4157183316202</v>
      </c>
      <c r="F21" s="208">
        <f t="shared" si="1"/>
        <v>500.86008720279432</v>
      </c>
      <c r="G21" s="244">
        <f t="shared" si="2"/>
        <v>8729.2758055344148</v>
      </c>
      <c r="H21" s="248">
        <f t="shared" si="8"/>
        <v>10562.423724696642</v>
      </c>
      <c r="I21" s="210"/>
      <c r="J21" s="213" t="s">
        <v>24</v>
      </c>
      <c r="K21" s="214">
        <v>1.5628386306919734E-2</v>
      </c>
      <c r="L21" s="208">
        <f t="shared" si="3"/>
        <v>7950.1601143300686</v>
      </c>
      <c r="M21" s="208">
        <f t="shared" si="9"/>
        <v>8228.4157183316202</v>
      </c>
      <c r="N21" s="208">
        <f t="shared" si="4"/>
        <v>500.86008720279432</v>
      </c>
      <c r="O21" s="209">
        <f t="shared" si="10"/>
        <v>2618.7827416603245</v>
      </c>
      <c r="P21" s="251">
        <f t="shared" si="11"/>
        <v>3168.7271174089924</v>
      </c>
      <c r="Q21" s="210"/>
      <c r="R21" s="213" t="s">
        <v>24</v>
      </c>
      <c r="S21" s="214">
        <v>1.5628386306919734E-2</v>
      </c>
      <c r="T21" s="208">
        <f t="shared" si="5"/>
        <v>7950.1601143300686</v>
      </c>
      <c r="U21" s="208">
        <f t="shared" si="12"/>
        <v>8228.4157183316202</v>
      </c>
      <c r="V21" s="208">
        <f t="shared" si="6"/>
        <v>500.86008720279432</v>
      </c>
      <c r="W21" s="209">
        <f t="shared" si="13"/>
        <v>872.92758055344154</v>
      </c>
      <c r="X21" s="251">
        <f t="shared" si="14"/>
        <v>1056.2423724696641</v>
      </c>
    </row>
    <row r="22" spans="1:24" ht="20.25" customHeight="1" x14ac:dyDescent="0.25">
      <c r="A22" s="182"/>
      <c r="B22" s="136" t="s">
        <v>25</v>
      </c>
      <c r="C22" s="214">
        <v>5.715524135102075E-3</v>
      </c>
      <c r="D22" s="208">
        <f t="shared" si="0"/>
        <v>2907.4871275264254</v>
      </c>
      <c r="E22" s="208">
        <f t="shared" si="7"/>
        <v>3009.2491769898502</v>
      </c>
      <c r="F22" s="208">
        <f t="shared" si="1"/>
        <v>183.17168903416481</v>
      </c>
      <c r="G22" s="244">
        <f t="shared" si="2"/>
        <v>3192.4208660240151</v>
      </c>
      <c r="H22" s="248">
        <f t="shared" si="8"/>
        <v>3862.829247889058</v>
      </c>
      <c r="I22" s="210"/>
      <c r="J22" s="213" t="s">
        <v>25</v>
      </c>
      <c r="K22" s="214">
        <v>5.715524135102075E-3</v>
      </c>
      <c r="L22" s="208">
        <f t="shared" si="3"/>
        <v>2907.4871275264254</v>
      </c>
      <c r="M22" s="208">
        <f t="shared" si="9"/>
        <v>3009.2491769898502</v>
      </c>
      <c r="N22" s="208">
        <f t="shared" si="4"/>
        <v>183.17168903416481</v>
      </c>
      <c r="O22" s="209">
        <f t="shared" si="10"/>
        <v>957.72625980720454</v>
      </c>
      <c r="P22" s="251">
        <f t="shared" si="11"/>
        <v>1158.8487743667174</v>
      </c>
      <c r="Q22" s="210"/>
      <c r="R22" s="213" t="s">
        <v>25</v>
      </c>
      <c r="S22" s="214">
        <v>5.715524135102075E-3</v>
      </c>
      <c r="T22" s="208">
        <f t="shared" si="5"/>
        <v>2907.4871275264254</v>
      </c>
      <c r="U22" s="208">
        <f t="shared" si="12"/>
        <v>3009.2491769898502</v>
      </c>
      <c r="V22" s="208">
        <f t="shared" si="6"/>
        <v>183.17168903416481</v>
      </c>
      <c r="W22" s="209">
        <f t="shared" si="13"/>
        <v>319.24208660240151</v>
      </c>
      <c r="X22" s="251">
        <f t="shared" si="14"/>
        <v>386.2829247889058</v>
      </c>
    </row>
    <row r="23" spans="1:24" ht="20.25" customHeight="1" x14ac:dyDescent="0.25">
      <c r="A23" s="182"/>
      <c r="B23" s="136" t="s">
        <v>94</v>
      </c>
      <c r="C23" s="214">
        <v>2.2772791475797336E-2</v>
      </c>
      <c r="D23" s="208">
        <f t="shared" si="0"/>
        <v>11584.519023738105</v>
      </c>
      <c r="E23" s="208">
        <f t="shared" si="7"/>
        <v>11989.977189568937</v>
      </c>
      <c r="F23" s="208">
        <f t="shared" si="1"/>
        <v>729.82469849550057</v>
      </c>
      <c r="G23" s="244">
        <f t="shared" si="2"/>
        <v>12719.801888064438</v>
      </c>
      <c r="H23" s="248">
        <f t="shared" si="8"/>
        <v>15390.960284557968</v>
      </c>
      <c r="I23" s="210"/>
      <c r="J23" s="213" t="s">
        <v>94</v>
      </c>
      <c r="K23" s="214">
        <v>2.2772791475797336E-2</v>
      </c>
      <c r="L23" s="208">
        <f t="shared" si="3"/>
        <v>11584.519023738105</v>
      </c>
      <c r="M23" s="208">
        <f t="shared" si="9"/>
        <v>11989.977189568937</v>
      </c>
      <c r="N23" s="208">
        <f t="shared" si="4"/>
        <v>729.82469849550057</v>
      </c>
      <c r="O23" s="209">
        <f t="shared" si="10"/>
        <v>3815.9405664193309</v>
      </c>
      <c r="P23" s="251">
        <f t="shared" si="11"/>
        <v>4617.2880853673905</v>
      </c>
      <c r="Q23" s="210"/>
      <c r="R23" s="213" t="s">
        <v>94</v>
      </c>
      <c r="S23" s="214">
        <v>2.2772791475797336E-2</v>
      </c>
      <c r="T23" s="208">
        <f t="shared" si="5"/>
        <v>11584.519023738105</v>
      </c>
      <c r="U23" s="208">
        <f t="shared" si="12"/>
        <v>11989.977189568937</v>
      </c>
      <c r="V23" s="208">
        <f t="shared" si="6"/>
        <v>729.82469849550057</v>
      </c>
      <c r="W23" s="209">
        <f t="shared" si="13"/>
        <v>1271.9801888064439</v>
      </c>
      <c r="X23" s="251">
        <f t="shared" si="14"/>
        <v>1539.0960284557971</v>
      </c>
    </row>
    <row r="24" spans="1:24" ht="20.25" customHeight="1" x14ac:dyDescent="0.25">
      <c r="A24" s="182"/>
      <c r="B24" s="136" t="s">
        <v>95</v>
      </c>
      <c r="C24" s="214">
        <v>1.821823318063787E-2</v>
      </c>
      <c r="D24" s="208">
        <f t="shared" si="0"/>
        <v>9267.6152189904842</v>
      </c>
      <c r="E24" s="208">
        <f t="shared" si="7"/>
        <v>9591.9817516551502</v>
      </c>
      <c r="F24" s="208">
        <f t="shared" si="1"/>
        <v>583.85975879640046</v>
      </c>
      <c r="G24" s="244">
        <f t="shared" si="2"/>
        <v>10175.841510451552</v>
      </c>
      <c r="H24" s="248">
        <f t="shared" si="8"/>
        <v>12312.768227646377</v>
      </c>
      <c r="I24" s="210"/>
      <c r="J24" s="213" t="s">
        <v>95</v>
      </c>
      <c r="K24" s="214">
        <v>1.821823318063787E-2</v>
      </c>
      <c r="L24" s="208">
        <f t="shared" si="3"/>
        <v>9267.6152189904842</v>
      </c>
      <c r="M24" s="208">
        <f t="shared" si="9"/>
        <v>9591.9817516551502</v>
      </c>
      <c r="N24" s="208">
        <f t="shared" si="4"/>
        <v>583.85975879640046</v>
      </c>
      <c r="O24" s="209">
        <f t="shared" si="10"/>
        <v>3052.7524531354652</v>
      </c>
      <c r="P24" s="251">
        <f t="shared" si="11"/>
        <v>3693.8304682939129</v>
      </c>
      <c r="Q24" s="210"/>
      <c r="R24" s="213" t="s">
        <v>95</v>
      </c>
      <c r="S24" s="214">
        <v>1.821823318063787E-2</v>
      </c>
      <c r="T24" s="208">
        <f t="shared" si="5"/>
        <v>9267.6152189904842</v>
      </c>
      <c r="U24" s="208">
        <f t="shared" si="12"/>
        <v>9591.9817516551502</v>
      </c>
      <c r="V24" s="208">
        <f t="shared" si="6"/>
        <v>583.85975879640046</v>
      </c>
      <c r="W24" s="209">
        <f t="shared" si="13"/>
        <v>1017.5841510451552</v>
      </c>
      <c r="X24" s="251">
        <f t="shared" si="14"/>
        <v>1231.2768227646377</v>
      </c>
    </row>
    <row r="25" spans="1:24" ht="20.25" customHeight="1" x14ac:dyDescent="0.25">
      <c r="A25" s="182"/>
      <c r="B25" s="78" t="s">
        <v>98</v>
      </c>
      <c r="C25" s="228">
        <v>2.2772791475797329E-2</v>
      </c>
      <c r="D25" s="208">
        <f t="shared" si="0"/>
        <v>11584.519023738101</v>
      </c>
      <c r="E25" s="208">
        <f t="shared" si="7"/>
        <v>11989.977189568934</v>
      </c>
      <c r="F25" s="208">
        <f t="shared" si="1"/>
        <v>729.82469849550034</v>
      </c>
      <c r="G25" s="244">
        <f t="shared" si="2"/>
        <v>12719.801888064434</v>
      </c>
      <c r="H25" s="248">
        <f t="shared" si="8"/>
        <v>15390.960284557965</v>
      </c>
      <c r="I25" s="210"/>
      <c r="J25" s="78" t="s">
        <v>98</v>
      </c>
      <c r="K25" s="228">
        <v>2.2772791475797329E-2</v>
      </c>
      <c r="L25" s="208">
        <f t="shared" si="3"/>
        <v>11584.519023738101</v>
      </c>
      <c r="M25" s="208">
        <f t="shared" si="9"/>
        <v>11989.977189568934</v>
      </c>
      <c r="N25" s="208">
        <f t="shared" si="4"/>
        <v>729.82469849550034</v>
      </c>
      <c r="O25" s="209">
        <f t="shared" si="10"/>
        <v>3815.94056641933</v>
      </c>
      <c r="P25" s="251">
        <f t="shared" si="11"/>
        <v>4617.2880853673896</v>
      </c>
      <c r="Q25" s="210"/>
      <c r="R25" s="78" t="s">
        <v>98</v>
      </c>
      <c r="S25" s="228">
        <v>2.2772791475797329E-2</v>
      </c>
      <c r="T25" s="208">
        <f t="shared" si="5"/>
        <v>11584.519023738101</v>
      </c>
      <c r="U25" s="208">
        <f t="shared" si="12"/>
        <v>11989.977189568934</v>
      </c>
      <c r="V25" s="208">
        <f t="shared" si="6"/>
        <v>729.82469849550034</v>
      </c>
      <c r="W25" s="209">
        <f t="shared" si="13"/>
        <v>1271.9801888064435</v>
      </c>
      <c r="X25" s="251">
        <f t="shared" si="14"/>
        <v>1539.0960284557966</v>
      </c>
    </row>
    <row r="26" spans="1:24" ht="20.25" customHeight="1" x14ac:dyDescent="0.25">
      <c r="A26" s="182"/>
      <c r="B26" s="78" t="s">
        <v>99</v>
      </c>
      <c r="C26" s="228">
        <v>1.36636748854784E-2</v>
      </c>
      <c r="D26" s="208">
        <f t="shared" si="0"/>
        <v>6950.7114142428618</v>
      </c>
      <c r="E26" s="208">
        <f t="shared" si="7"/>
        <v>7193.9863137413613</v>
      </c>
      <c r="F26" s="208">
        <f t="shared" si="1"/>
        <v>437.89481909730029</v>
      </c>
      <c r="G26" s="244">
        <f t="shared" si="2"/>
        <v>7631.8811328386619</v>
      </c>
      <c r="H26" s="248">
        <f t="shared" si="8"/>
        <v>9234.576170734781</v>
      </c>
      <c r="I26" s="210"/>
      <c r="J26" s="78" t="s">
        <v>99</v>
      </c>
      <c r="K26" s="228">
        <v>1.36636748854784E-2</v>
      </c>
      <c r="L26" s="208">
        <f t="shared" si="3"/>
        <v>6950.7114142428618</v>
      </c>
      <c r="M26" s="208">
        <f t="shared" si="9"/>
        <v>7193.9863137413613</v>
      </c>
      <c r="N26" s="208">
        <f t="shared" si="4"/>
        <v>437.89481909730029</v>
      </c>
      <c r="O26" s="209">
        <f t="shared" si="10"/>
        <v>2289.5643398515986</v>
      </c>
      <c r="P26" s="251">
        <f t="shared" si="11"/>
        <v>2770.3728512204343</v>
      </c>
      <c r="Q26" s="210"/>
      <c r="R26" s="78" t="s">
        <v>99</v>
      </c>
      <c r="S26" s="228">
        <v>1.36636748854784E-2</v>
      </c>
      <c r="T26" s="208">
        <f t="shared" si="5"/>
        <v>6950.7114142428618</v>
      </c>
      <c r="U26" s="208">
        <f t="shared" si="12"/>
        <v>7193.9863137413613</v>
      </c>
      <c r="V26" s="208">
        <f t="shared" si="6"/>
        <v>437.89481909730029</v>
      </c>
      <c r="W26" s="209">
        <f t="shared" si="13"/>
        <v>763.18811328386619</v>
      </c>
      <c r="X26" s="251">
        <f t="shared" si="14"/>
        <v>923.4576170734781</v>
      </c>
    </row>
    <row r="27" spans="1:24" ht="20.25" customHeight="1" x14ac:dyDescent="0.25">
      <c r="A27" s="182"/>
      <c r="B27" s="136" t="s">
        <v>18</v>
      </c>
      <c r="C27" s="228">
        <v>2.1433215506632783E-2</v>
      </c>
      <c r="D27" s="208">
        <f t="shared" si="0"/>
        <v>10903.076728224096</v>
      </c>
      <c r="E27" s="208">
        <f t="shared" si="7"/>
        <v>11284.684413711939</v>
      </c>
      <c r="F27" s="208">
        <f t="shared" si="1"/>
        <v>686.89383387811802</v>
      </c>
      <c r="G27" s="244">
        <f t="shared" si="2"/>
        <v>11971.578247590056</v>
      </c>
      <c r="H27" s="248">
        <f t="shared" si="8"/>
        <v>14485.609679583968</v>
      </c>
      <c r="I27" s="210"/>
      <c r="J27" s="136" t="s">
        <v>18</v>
      </c>
      <c r="K27" s="228">
        <v>2.1433215506632783E-2</v>
      </c>
      <c r="L27" s="208">
        <f>K27*$D$28</f>
        <v>10903.076728224096</v>
      </c>
      <c r="M27" s="208">
        <f t="shared" si="9"/>
        <v>11284.684413711939</v>
      </c>
      <c r="N27" s="208">
        <f>K27*$F$28</f>
        <v>686.89383387811802</v>
      </c>
      <c r="O27" s="209">
        <f t="shared" si="10"/>
        <v>3591.4734742770165</v>
      </c>
      <c r="P27" s="251">
        <f t="shared" si="11"/>
        <v>4345.6829038751903</v>
      </c>
      <c r="Q27" s="210"/>
      <c r="R27" s="136" t="s">
        <v>18</v>
      </c>
      <c r="S27" s="228">
        <v>2.1433215506632783E-2</v>
      </c>
      <c r="T27" s="208">
        <f t="shared" si="5"/>
        <v>10903.076728224096</v>
      </c>
      <c r="U27" s="208">
        <f t="shared" si="12"/>
        <v>11284.684413711939</v>
      </c>
      <c r="V27" s="208">
        <f t="shared" si="6"/>
        <v>686.89383387811802</v>
      </c>
      <c r="W27" s="209">
        <f t="shared" si="13"/>
        <v>1197.1578247590057</v>
      </c>
      <c r="X27" s="251">
        <f>W27*1.21</f>
        <v>1448.560967958397</v>
      </c>
    </row>
    <row r="28" spans="1:24" ht="21" customHeight="1" thickBot="1" x14ac:dyDescent="0.3">
      <c r="A28" s="182"/>
      <c r="B28" s="206" t="s">
        <v>26</v>
      </c>
      <c r="C28" s="215">
        <f>SUM(C7:C27)</f>
        <v>1.0000000000000002</v>
      </c>
      <c r="D28" s="217">
        <f>D31</f>
        <v>508700</v>
      </c>
      <c r="E28" s="218">
        <f>SUM(E7:E27)</f>
        <v>526504.49999999988</v>
      </c>
      <c r="F28" s="217">
        <f>D28*0.063</f>
        <v>32048.1</v>
      </c>
      <c r="G28" s="245">
        <f>SUM(G7:G27)</f>
        <v>558552.6</v>
      </c>
      <c r="H28" s="249">
        <f>SUM(H7:H27)</f>
        <v>675848.64599999995</v>
      </c>
      <c r="I28" s="210"/>
      <c r="J28" s="216" t="s">
        <v>26</v>
      </c>
      <c r="K28" s="215">
        <f>SUM(K7:K27)</f>
        <v>1.0000000000000002</v>
      </c>
      <c r="L28" s="217">
        <f>D31</f>
        <v>508700</v>
      </c>
      <c r="M28" s="218">
        <f>SUM(M7:M27)</f>
        <v>526504.49999999988</v>
      </c>
      <c r="N28" s="217">
        <f>L28*0.063</f>
        <v>32048.1</v>
      </c>
      <c r="O28" s="218">
        <f>SUM(O7:O27)</f>
        <v>167565.78000000003</v>
      </c>
      <c r="P28" s="252">
        <f>SUM(P7:P27)</f>
        <v>202754.59379999992</v>
      </c>
      <c r="Q28" s="210"/>
      <c r="R28" s="216" t="s">
        <v>26</v>
      </c>
      <c r="S28" s="215">
        <f>SUM(S7:S27)</f>
        <v>1.0000000000000002</v>
      </c>
      <c r="T28" s="217">
        <f>D31</f>
        <v>508700</v>
      </c>
      <c r="U28" s="218">
        <f>SUM(U7:U27)</f>
        <v>526504.49999999988</v>
      </c>
      <c r="V28" s="217">
        <f>T28*0.063</f>
        <v>32048.1</v>
      </c>
      <c r="W28" s="218">
        <f>SUM(W7:W27)</f>
        <v>55855.260000000009</v>
      </c>
      <c r="X28" s="252">
        <f>SUM(X7:X27)</f>
        <v>67584.864599999986</v>
      </c>
    </row>
    <row r="29" spans="1:24" x14ac:dyDescent="0.25">
      <c r="C29" s="2"/>
      <c r="D29" s="200"/>
      <c r="E29" s="200"/>
      <c r="F29" s="200"/>
      <c r="G29" s="200"/>
      <c r="H29" s="200"/>
      <c r="L29" s="200"/>
      <c r="M29" s="200"/>
      <c r="N29" s="200"/>
      <c r="O29" s="200"/>
      <c r="P29" s="200"/>
    </row>
    <row r="30" spans="1:24" x14ac:dyDescent="0.25">
      <c r="M30" s="229"/>
      <c r="U30" s="229"/>
    </row>
    <row r="31" spans="1:24" ht="15.75" x14ac:dyDescent="0.25">
      <c r="D31" s="234">
        <v>508700</v>
      </c>
      <c r="E31" s="235" t="s">
        <v>106</v>
      </c>
      <c r="F31" s="233"/>
      <c r="G31" s="233"/>
      <c r="H31" s="233"/>
      <c r="I31" s="233"/>
      <c r="J31" s="233"/>
      <c r="K31" s="232"/>
      <c r="L31" s="236"/>
      <c r="M31" s="236"/>
      <c r="N31" s="236"/>
      <c r="O31" s="236"/>
      <c r="P31" s="236"/>
    </row>
    <row r="33" spans="4:8" x14ac:dyDescent="0.25">
      <c r="D33" s="201"/>
      <c r="E33" s="201"/>
      <c r="F33" s="201"/>
      <c r="G33" s="201"/>
      <c r="H33" s="201"/>
    </row>
  </sheetData>
  <mergeCells count="15">
    <mergeCell ref="X4:X6"/>
    <mergeCell ref="U4:U6"/>
    <mergeCell ref="W4:W6"/>
    <mergeCell ref="B3:G3"/>
    <mergeCell ref="J3:O3"/>
    <mergeCell ref="R3:W3"/>
    <mergeCell ref="B4:B6"/>
    <mergeCell ref="E4:E6"/>
    <mergeCell ref="G4:G6"/>
    <mergeCell ref="J4:J6"/>
    <mergeCell ref="M4:M6"/>
    <mergeCell ref="O4:O6"/>
    <mergeCell ref="R4:R6"/>
    <mergeCell ref="H4:H6"/>
    <mergeCell ref="P4:P6"/>
  </mergeCells>
  <pageMargins left="0.7" right="0.7" top="0.78740157499999996" bottom="0.78740157499999996" header="0.3" footer="0.3"/>
  <pageSetup paperSize="8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120F-0BD9-462B-A01C-1C8D8D47C500}">
  <sheetPr>
    <tabColor rgb="FF92D050"/>
  </sheetPr>
  <dimension ref="A1:AF106"/>
  <sheetViews>
    <sheetView topLeftCell="A55" zoomScaleNormal="100" workbookViewId="0">
      <selection activeCell="E1" sqref="E1"/>
    </sheetView>
  </sheetViews>
  <sheetFormatPr defaultRowHeight="15" x14ac:dyDescent="0.25"/>
  <cols>
    <col min="2" max="3" width="19.7109375" customWidth="1"/>
    <col min="4" max="8" width="12.85546875" customWidth="1"/>
    <col min="9" max="10" width="13.5703125" customWidth="1"/>
    <col min="11" max="11" width="14.42578125" customWidth="1"/>
    <col min="12" max="12" width="10.7109375" customWidth="1"/>
    <col min="13" max="13" width="11" customWidth="1"/>
    <col min="14" max="14" width="11.28515625" customWidth="1"/>
    <col min="15" max="15" width="9.85546875" customWidth="1"/>
    <col min="16" max="16" width="11" customWidth="1"/>
    <col min="17" max="17" width="10.7109375" customWidth="1"/>
    <col min="18" max="18" width="12.7109375" customWidth="1"/>
    <col min="19" max="19" width="10.7109375" customWidth="1"/>
    <col min="20" max="20" width="8.140625" customWidth="1"/>
    <col min="21" max="21" width="12.7109375" customWidth="1"/>
    <col min="22" max="24" width="10.140625" customWidth="1"/>
    <col min="25" max="25" width="9.7109375" customWidth="1"/>
    <col min="26" max="26" width="12.42578125" customWidth="1"/>
    <col min="27" max="27" width="16.5703125" customWidth="1"/>
    <col min="28" max="29" width="10.140625" customWidth="1"/>
    <col min="31" max="31" width="5.42578125" customWidth="1"/>
    <col min="32" max="32" width="10.140625" customWidth="1"/>
  </cols>
  <sheetData>
    <row r="1" spans="1:28" ht="64.5" customHeight="1" x14ac:dyDescent="0.25"/>
    <row r="2" spans="1:28" ht="24.75" customHeight="1" x14ac:dyDescent="0.3">
      <c r="A2" s="237"/>
      <c r="B2" s="238"/>
      <c r="C2" s="239" t="s">
        <v>105</v>
      </c>
      <c r="D2" s="239"/>
      <c r="E2" s="239"/>
      <c r="F2" s="239"/>
      <c r="G2" s="239"/>
      <c r="H2" s="239"/>
      <c r="I2" s="240"/>
      <c r="J2" s="240"/>
      <c r="K2" s="240"/>
      <c r="L2" s="241"/>
    </row>
    <row r="3" spans="1:28" ht="30.6" customHeight="1" x14ac:dyDescent="0.25">
      <c r="B3" s="4" t="s">
        <v>0</v>
      </c>
      <c r="C3" s="5"/>
      <c r="D3" s="266" t="s">
        <v>27</v>
      </c>
      <c r="E3" s="267"/>
      <c r="F3" s="268" t="s">
        <v>28</v>
      </c>
      <c r="G3" s="270">
        <v>2025</v>
      </c>
      <c r="H3" s="271"/>
      <c r="I3" s="6">
        <v>2040</v>
      </c>
      <c r="J3" s="7"/>
      <c r="K3" s="268" t="s">
        <v>29</v>
      </c>
      <c r="L3" s="264" t="s">
        <v>30</v>
      </c>
      <c r="M3" s="270">
        <v>2040</v>
      </c>
      <c r="N3" s="271"/>
      <c r="O3" s="6">
        <v>2040</v>
      </c>
      <c r="P3" s="262" t="s">
        <v>31</v>
      </c>
      <c r="Q3" s="264" t="s">
        <v>30</v>
      </c>
    </row>
    <row r="4" spans="1:28" ht="43.9" customHeight="1" x14ac:dyDescent="0.25">
      <c r="B4" s="4"/>
      <c r="C4" s="5" t="s">
        <v>32</v>
      </c>
      <c r="D4" s="8" t="s">
        <v>33</v>
      </c>
      <c r="E4" s="9" t="s">
        <v>34</v>
      </c>
      <c r="F4" s="269"/>
      <c r="G4" s="10" t="s">
        <v>33</v>
      </c>
      <c r="H4" s="9" t="s">
        <v>34</v>
      </c>
      <c r="I4" s="9" t="s">
        <v>35</v>
      </c>
      <c r="J4" s="11" t="s">
        <v>31</v>
      </c>
      <c r="K4" s="269"/>
      <c r="L4" s="265" t="s">
        <v>1</v>
      </c>
      <c r="M4" s="10" t="s">
        <v>33</v>
      </c>
      <c r="N4" s="9" t="s">
        <v>34</v>
      </c>
      <c r="O4" s="9" t="s">
        <v>35</v>
      </c>
      <c r="P4" s="263"/>
      <c r="Q4" s="265" t="s">
        <v>1</v>
      </c>
    </row>
    <row r="5" spans="1:28" ht="16.5" customHeight="1" thickBot="1" x14ac:dyDescent="0.3">
      <c r="B5" s="4"/>
      <c r="C5" s="5"/>
      <c r="D5" s="8" t="s">
        <v>36</v>
      </c>
      <c r="E5" s="12" t="s">
        <v>37</v>
      </c>
      <c r="F5" s="13"/>
      <c r="G5" s="10" t="s">
        <v>36</v>
      </c>
      <c r="H5" s="12" t="s">
        <v>37</v>
      </c>
      <c r="I5" s="12" t="s">
        <v>38</v>
      </c>
      <c r="J5" s="12" t="s">
        <v>37</v>
      </c>
      <c r="K5" s="13"/>
      <c r="L5" s="14" t="s">
        <v>38</v>
      </c>
      <c r="M5" s="10" t="s">
        <v>36</v>
      </c>
      <c r="N5" s="12" t="s">
        <v>37</v>
      </c>
      <c r="O5" s="12" t="s">
        <v>38</v>
      </c>
      <c r="P5" s="12" t="s">
        <v>37</v>
      </c>
      <c r="Q5" s="15" t="s">
        <v>38</v>
      </c>
    </row>
    <row r="6" spans="1:28" ht="24.6" customHeight="1" x14ac:dyDescent="0.25">
      <c r="B6" s="16" t="s">
        <v>8</v>
      </c>
      <c r="C6" s="17">
        <v>8800</v>
      </c>
      <c r="D6" s="18">
        <f>R40</f>
        <v>8052</v>
      </c>
      <c r="E6" s="19">
        <f>S39</f>
        <v>468.96892919254657</v>
      </c>
      <c r="F6" s="20" t="s">
        <v>39</v>
      </c>
      <c r="G6" s="21">
        <v>10000</v>
      </c>
      <c r="H6" s="19">
        <v>576.92291925465838</v>
      </c>
      <c r="I6" s="19">
        <v>37</v>
      </c>
      <c r="J6" s="19">
        <f>H6*I6/100</f>
        <v>213.46148012422361</v>
      </c>
      <c r="K6" s="19" t="s">
        <v>40</v>
      </c>
      <c r="L6" s="1">
        <f t="shared" ref="L6:L22" si="0">J6/$J$34</f>
        <v>0.35513993090706536</v>
      </c>
      <c r="M6" s="21">
        <f>AB40</f>
        <v>14000</v>
      </c>
      <c r="N6" s="19">
        <f>AC40</f>
        <v>789.78216894409945</v>
      </c>
      <c r="O6" s="19">
        <v>37</v>
      </c>
      <c r="P6" s="19">
        <f>N6*O6/100</f>
        <v>292.21940250931681</v>
      </c>
      <c r="Q6" s="1">
        <f>P6/$P$29</f>
        <v>0.30386536614277437</v>
      </c>
      <c r="S6" s="197">
        <v>0.32254592052152287</v>
      </c>
      <c r="W6" s="197">
        <v>0.30386536614277437</v>
      </c>
      <c r="Z6" t="s">
        <v>8</v>
      </c>
      <c r="AA6" s="205" t="s">
        <v>8</v>
      </c>
      <c r="AB6" s="23">
        <v>0.30386536614277437</v>
      </c>
    </row>
    <row r="7" spans="1:28" ht="24.6" customHeight="1" x14ac:dyDescent="0.25">
      <c r="B7" s="16" t="s">
        <v>9</v>
      </c>
      <c r="C7" s="17">
        <v>1500</v>
      </c>
      <c r="D7" s="18">
        <f>R44</f>
        <v>1100</v>
      </c>
      <c r="E7" s="19">
        <f>S43</f>
        <v>52.774204884736051</v>
      </c>
      <c r="F7" s="19" t="s">
        <v>39</v>
      </c>
      <c r="G7" s="21">
        <v>1700</v>
      </c>
      <c r="H7" s="19">
        <v>81.560134821864821</v>
      </c>
      <c r="I7" s="19">
        <v>100</v>
      </c>
      <c r="J7" s="19">
        <f t="shared" ref="J7:J24" si="1">H7*I7/100</f>
        <v>81.560134821864821</v>
      </c>
      <c r="K7" s="19" t="s">
        <v>40</v>
      </c>
      <c r="L7" s="1">
        <f t="shared" si="0"/>
        <v>0.13569315001728516</v>
      </c>
      <c r="M7" s="21">
        <f>AB44</f>
        <v>1950</v>
      </c>
      <c r="N7" s="19">
        <f>AC44</f>
        <v>93.945712765524803</v>
      </c>
      <c r="O7" s="19">
        <v>100</v>
      </c>
      <c r="P7" s="19">
        <f t="shared" ref="P7:P24" si="2">N7*O7/100</f>
        <v>93.945712765524803</v>
      </c>
      <c r="Q7" s="1">
        <f t="shared" ref="Q7:Q27" si="3">P7/$P$29</f>
        <v>9.7689777481938259E-2</v>
      </c>
      <c r="S7" s="197">
        <v>0.10369539511340514</v>
      </c>
      <c r="W7" s="197">
        <v>9.7689777481938259E-2</v>
      </c>
      <c r="Z7" t="s">
        <v>9</v>
      </c>
      <c r="AA7" s="136" t="s">
        <v>9</v>
      </c>
      <c r="AB7" s="23">
        <v>9.7689777481938259E-2</v>
      </c>
    </row>
    <row r="8" spans="1:28" ht="24.6" customHeight="1" x14ac:dyDescent="0.25">
      <c r="B8" s="16" t="s">
        <v>10</v>
      </c>
      <c r="C8" s="17">
        <v>2100</v>
      </c>
      <c r="D8" s="18">
        <f>R66</f>
        <v>700</v>
      </c>
      <c r="E8" s="19">
        <f>S65</f>
        <v>35.664210887888494</v>
      </c>
      <c r="F8" s="19" t="s">
        <v>41</v>
      </c>
      <c r="G8" s="21">
        <v>1319</v>
      </c>
      <c r="H8" s="19">
        <v>63.981334551065437</v>
      </c>
      <c r="I8" s="19">
        <v>100</v>
      </c>
      <c r="J8" s="19">
        <f t="shared" si="1"/>
        <v>63.981334551065437</v>
      </c>
      <c r="K8" s="19" t="s">
        <v>42</v>
      </c>
      <c r="L8" s="1">
        <f t="shared" si="0"/>
        <v>0.10644696513199471</v>
      </c>
      <c r="M8" s="21">
        <f>AB66</f>
        <v>2719</v>
      </c>
      <c r="N8" s="19">
        <f>AC66</f>
        <v>134.28667764705881</v>
      </c>
      <c r="O8" s="19">
        <v>100</v>
      </c>
      <c r="P8" s="19">
        <f t="shared" si="2"/>
        <v>134.28667764705881</v>
      </c>
      <c r="Q8" s="1">
        <f t="shared" si="3"/>
        <v>0.13963847068648788</v>
      </c>
      <c r="S8" s="197">
        <v>8.7504887117429486E-2</v>
      </c>
      <c r="W8" s="197">
        <v>0.13963847068648788</v>
      </c>
      <c r="Z8" t="s">
        <v>10</v>
      </c>
      <c r="AA8" s="136" t="s">
        <v>10</v>
      </c>
      <c r="AB8" s="23">
        <v>0.13963847068648788</v>
      </c>
    </row>
    <row r="9" spans="1:28" ht="24.6" customHeight="1" x14ac:dyDescent="0.25">
      <c r="B9" s="16" t="s">
        <v>11</v>
      </c>
      <c r="C9" s="22">
        <v>785</v>
      </c>
      <c r="D9" s="18">
        <f>R45</f>
        <v>767</v>
      </c>
      <c r="E9" s="19">
        <f>S44</f>
        <v>29.527223501893037</v>
      </c>
      <c r="F9" s="19" t="s">
        <v>39</v>
      </c>
      <c r="G9" s="21">
        <v>817</v>
      </c>
      <c r="H9" s="19">
        <v>31.452075099148129</v>
      </c>
      <c r="I9" s="19">
        <v>50</v>
      </c>
      <c r="J9" s="19">
        <f t="shared" si="1"/>
        <v>15.726037549574064</v>
      </c>
      <c r="K9" s="19" t="s">
        <v>40</v>
      </c>
      <c r="L9" s="1">
        <f t="shared" si="0"/>
        <v>2.6163708251003871E-2</v>
      </c>
      <c r="M9" s="21">
        <f>AB45</f>
        <v>1017</v>
      </c>
      <c r="N9" s="19">
        <f>AC45</f>
        <v>43.213555726455269</v>
      </c>
      <c r="O9" s="19">
        <v>50</v>
      </c>
      <c r="P9" s="19">
        <f t="shared" si="2"/>
        <v>21.606777863227634</v>
      </c>
      <c r="Q9" s="1">
        <f t="shared" si="3"/>
        <v>2.2467883412929532E-2</v>
      </c>
      <c r="S9" s="197">
        <v>2.3849128413629628E-2</v>
      </c>
      <c r="W9" s="197">
        <v>2.2467883412929532E-2</v>
      </c>
      <c r="Z9" t="s">
        <v>11</v>
      </c>
      <c r="AA9" s="136" t="s">
        <v>11</v>
      </c>
      <c r="AB9" s="23">
        <v>2.2467883412929532E-2</v>
      </c>
    </row>
    <row r="10" spans="1:28" ht="24.6" customHeight="1" x14ac:dyDescent="0.25">
      <c r="B10" s="16" t="s">
        <v>12</v>
      </c>
      <c r="C10" s="22">
        <v>848</v>
      </c>
      <c r="D10" s="18">
        <f>R93</f>
        <v>520</v>
      </c>
      <c r="E10" s="19">
        <f>S92</f>
        <v>38.487921402907673</v>
      </c>
      <c r="F10" s="19" t="s">
        <v>39</v>
      </c>
      <c r="G10" s="21">
        <v>800</v>
      </c>
      <c r="H10" s="19">
        <v>51.723604146213169</v>
      </c>
      <c r="I10" s="19">
        <v>100</v>
      </c>
      <c r="J10" s="19">
        <f t="shared" si="1"/>
        <v>51.723604146213162</v>
      </c>
      <c r="K10" s="19" t="s">
        <v>43</v>
      </c>
      <c r="L10" s="1">
        <f t="shared" si="0"/>
        <v>8.6053545548642585E-2</v>
      </c>
      <c r="M10" s="21">
        <f>AB93</f>
        <v>1040</v>
      </c>
      <c r="N10" s="19">
        <f>AC93</f>
        <v>65.650343800359281</v>
      </c>
      <c r="O10" s="19">
        <v>100</v>
      </c>
      <c r="P10" s="19">
        <f t="shared" si="2"/>
        <v>65.650343800359281</v>
      </c>
      <c r="Q10" s="1">
        <f t="shared" si="3"/>
        <v>6.8266739254793887E-2</v>
      </c>
      <c r="S10" s="197">
        <v>7.2463533878337205E-2</v>
      </c>
      <c r="W10" s="197">
        <v>6.8266739254793887E-2</v>
      </c>
      <c r="Z10" t="s">
        <v>12</v>
      </c>
      <c r="AA10" s="136" t="s">
        <v>12</v>
      </c>
      <c r="AB10" s="23">
        <v>6.8266739254793887E-2</v>
      </c>
    </row>
    <row r="11" spans="1:28" ht="24.6" customHeight="1" x14ac:dyDescent="0.25">
      <c r="B11" s="16" t="s">
        <v>13</v>
      </c>
      <c r="C11" s="22">
        <v>710</v>
      </c>
      <c r="D11" s="18">
        <f>R47</f>
        <v>600</v>
      </c>
      <c r="E11" s="19">
        <f>S46</f>
        <v>16.656584819714226</v>
      </c>
      <c r="F11" s="19" t="s">
        <v>39</v>
      </c>
      <c r="G11" s="21">
        <v>700</v>
      </c>
      <c r="H11" s="19">
        <v>18.976879805072581</v>
      </c>
      <c r="I11" s="19">
        <v>100</v>
      </c>
      <c r="J11" s="19">
        <f t="shared" si="1"/>
        <v>18.976879805072581</v>
      </c>
      <c r="K11" s="19" t="s">
        <v>40</v>
      </c>
      <c r="L11" s="1">
        <f t="shared" si="0"/>
        <v>3.1572196439765846E-2</v>
      </c>
      <c r="M11" s="21">
        <f>AB47</f>
        <v>900</v>
      </c>
      <c r="N11" s="19">
        <f>AC47</f>
        <v>42.220362369779089</v>
      </c>
      <c r="O11" s="19">
        <v>100</v>
      </c>
      <c r="P11" s="19">
        <f t="shared" si="2"/>
        <v>42.220362369779089</v>
      </c>
      <c r="Q11" s="1">
        <f t="shared" si="3"/>
        <v>4.3902991245642904E-2</v>
      </c>
      <c r="S11" s="197">
        <v>4.6601989903385967E-2</v>
      </c>
      <c r="W11" s="197">
        <v>4.3902991245642904E-2</v>
      </c>
      <c r="Z11" t="s">
        <v>13</v>
      </c>
      <c r="AA11" s="136" t="s">
        <v>13</v>
      </c>
      <c r="AB11" s="23">
        <v>4.3902991245642904E-2</v>
      </c>
    </row>
    <row r="12" spans="1:28" ht="24.6" customHeight="1" x14ac:dyDescent="0.25">
      <c r="B12" s="16" t="s">
        <v>14</v>
      </c>
      <c r="C12" s="22">
        <v>507</v>
      </c>
      <c r="D12" s="18">
        <f>R49</f>
        <v>451</v>
      </c>
      <c r="E12" s="19">
        <f>S48</f>
        <v>16.596477288450238</v>
      </c>
      <c r="F12" s="19" t="s">
        <v>39</v>
      </c>
      <c r="G12" s="21">
        <v>617</v>
      </c>
      <c r="H12" s="19">
        <v>21.667849550590162</v>
      </c>
      <c r="I12" s="19">
        <v>100</v>
      </c>
      <c r="J12" s="19">
        <f t="shared" si="1"/>
        <v>21.667849550590162</v>
      </c>
      <c r="K12" s="19" t="s">
        <v>40</v>
      </c>
      <c r="L12" s="1">
        <f t="shared" si="0"/>
        <v>3.6049214068145284E-2</v>
      </c>
      <c r="M12" s="21">
        <f>AB49</f>
        <v>817</v>
      </c>
      <c r="N12" s="19">
        <f>AC49</f>
        <v>33.996011658067872</v>
      </c>
      <c r="O12" s="19">
        <v>100</v>
      </c>
      <c r="P12" s="19">
        <f t="shared" si="2"/>
        <v>33.996011658067872</v>
      </c>
      <c r="Q12" s="1">
        <f t="shared" si="3"/>
        <v>3.5350871438262772E-2</v>
      </c>
      <c r="S12" s="197">
        <v>3.7524116400731874E-2</v>
      </c>
      <c r="W12" s="197">
        <v>3.5350871438262772E-2</v>
      </c>
      <c r="Z12" t="s">
        <v>14</v>
      </c>
      <c r="AA12" s="136" t="s">
        <v>14</v>
      </c>
      <c r="AB12" s="23">
        <v>3.5350871438262772E-2</v>
      </c>
    </row>
    <row r="13" spans="1:28" ht="24.6" customHeight="1" x14ac:dyDescent="0.25">
      <c r="B13" s="16" t="s">
        <v>16</v>
      </c>
      <c r="C13" s="22">
        <v>463</v>
      </c>
      <c r="D13" s="18">
        <f>R53</f>
        <v>250</v>
      </c>
      <c r="E13" s="19">
        <f>S52</f>
        <v>17.613502944302191</v>
      </c>
      <c r="F13" s="19" t="s">
        <v>39</v>
      </c>
      <c r="G13" s="21">
        <v>477</v>
      </c>
      <c r="H13" s="19">
        <v>27.180206201490797</v>
      </c>
      <c r="I13" s="19">
        <v>100</v>
      </c>
      <c r="J13" s="19">
        <f t="shared" si="1"/>
        <v>27.180206201490797</v>
      </c>
      <c r="K13" s="19" t="s">
        <v>40</v>
      </c>
      <c r="L13" s="1">
        <f t="shared" si="0"/>
        <v>4.5220226838208991E-2</v>
      </c>
      <c r="M13" s="21">
        <f>AB53</f>
        <v>697</v>
      </c>
      <c r="N13" s="19">
        <f>AC53</f>
        <v>39.991704483267263</v>
      </c>
      <c r="O13" s="19">
        <v>100</v>
      </c>
      <c r="P13" s="19">
        <f t="shared" si="2"/>
        <v>39.991704483267263</v>
      </c>
      <c r="Q13" s="1">
        <f t="shared" si="3"/>
        <v>4.1585513559778749E-2</v>
      </c>
      <c r="S13" s="197">
        <v>4.414204198973027E-2</v>
      </c>
      <c r="W13" s="197">
        <v>4.1585513559778749E-2</v>
      </c>
      <c r="Z13" t="s">
        <v>16</v>
      </c>
      <c r="AA13" s="136" t="s">
        <v>16</v>
      </c>
      <c r="AB13" s="23">
        <v>4.1585513559778749E-2</v>
      </c>
    </row>
    <row r="14" spans="1:28" ht="24.6" customHeight="1" x14ac:dyDescent="0.25">
      <c r="B14" s="16" t="s">
        <v>17</v>
      </c>
      <c r="C14" s="22">
        <v>265</v>
      </c>
      <c r="D14" s="18">
        <v>0</v>
      </c>
      <c r="E14" s="19">
        <v>0</v>
      </c>
      <c r="F14" s="19" t="s">
        <v>44</v>
      </c>
      <c r="G14" s="21">
        <v>400</v>
      </c>
      <c r="H14" s="19">
        <v>17.17647058823529</v>
      </c>
      <c r="I14" s="19">
        <v>100</v>
      </c>
      <c r="J14" s="19">
        <f t="shared" si="1"/>
        <v>17.17647058823529</v>
      </c>
      <c r="K14" s="19" t="s">
        <v>40</v>
      </c>
      <c r="L14" s="1">
        <f t="shared" si="0"/>
        <v>2.8576821328059776E-2</v>
      </c>
      <c r="M14" s="21">
        <f>AB58</f>
        <v>500</v>
      </c>
      <c r="N14" s="19">
        <f>AC58</f>
        <v>21.47058823529412</v>
      </c>
      <c r="O14" s="19">
        <v>100</v>
      </c>
      <c r="P14" s="19">
        <f t="shared" si="2"/>
        <v>21.470588235294123</v>
      </c>
      <c r="Q14" s="1">
        <f t="shared" si="3"/>
        <v>2.2326266152742486E-2</v>
      </c>
      <c r="S14" s="197">
        <v>2.3698805031506166E-2</v>
      </c>
      <c r="W14" s="197">
        <v>2.2326266152742486E-2</v>
      </c>
      <c r="Z14" t="s">
        <v>17</v>
      </c>
      <c r="AA14" s="136" t="s">
        <v>17</v>
      </c>
      <c r="AB14" s="23">
        <v>2.2326266152742486E-2</v>
      </c>
    </row>
    <row r="15" spans="1:28" ht="24.6" customHeight="1" x14ac:dyDescent="0.25">
      <c r="B15" s="16" t="s">
        <v>19</v>
      </c>
      <c r="C15" s="22">
        <v>345</v>
      </c>
      <c r="D15" s="18">
        <f>R74</f>
        <v>340</v>
      </c>
      <c r="E15" s="19">
        <f>S73</f>
        <v>14.600000000000001</v>
      </c>
      <c r="F15" s="19" t="s">
        <v>39</v>
      </c>
      <c r="G15" s="21">
        <v>370</v>
      </c>
      <c r="H15" s="19">
        <v>15.888235294117651</v>
      </c>
      <c r="I15" s="19">
        <v>100</v>
      </c>
      <c r="J15" s="19">
        <f t="shared" si="1"/>
        <v>15.888235294117651</v>
      </c>
      <c r="K15" s="19" t="s">
        <v>42</v>
      </c>
      <c r="L15" s="1">
        <f t="shared" si="0"/>
        <v>2.6433559728455305E-2</v>
      </c>
      <c r="M15" s="21">
        <f>AB74</f>
        <v>470</v>
      </c>
      <c r="N15" s="19">
        <f>AC74</f>
        <v>20.182352941176472</v>
      </c>
      <c r="O15" s="19">
        <v>100</v>
      </c>
      <c r="P15" s="19">
        <f t="shared" si="2"/>
        <v>20.182352941176472</v>
      </c>
      <c r="Q15" s="1">
        <f t="shared" si="3"/>
        <v>2.0986690183577933E-2</v>
      </c>
      <c r="S15" s="197">
        <v>2.2276876729615789E-2</v>
      </c>
      <c r="W15" s="197">
        <v>2.0986690183577933E-2</v>
      </c>
      <c r="Z15" t="s">
        <v>19</v>
      </c>
      <c r="AA15" s="136" t="s">
        <v>19</v>
      </c>
      <c r="AB15" s="23">
        <v>2.0986690183577933E-2</v>
      </c>
    </row>
    <row r="16" spans="1:28" ht="24.6" customHeight="1" x14ac:dyDescent="0.25">
      <c r="B16" s="16" t="s">
        <v>20</v>
      </c>
      <c r="C16" s="22">
        <v>540</v>
      </c>
      <c r="D16" s="18">
        <f>R69</f>
        <v>190</v>
      </c>
      <c r="E16" s="19">
        <f>S68</f>
        <v>8.0145411764705887</v>
      </c>
      <c r="F16" s="19" t="s">
        <v>41</v>
      </c>
      <c r="G16" s="21">
        <v>330</v>
      </c>
      <c r="H16" s="19">
        <v>14.495696496775711</v>
      </c>
      <c r="I16" s="19">
        <v>50</v>
      </c>
      <c r="J16" s="19">
        <f t="shared" si="1"/>
        <v>7.2478482483878555</v>
      </c>
      <c r="K16" s="19" t="s">
        <v>42</v>
      </c>
      <c r="L16" s="1">
        <f t="shared" si="0"/>
        <v>1.2058383201781519E-2</v>
      </c>
      <c r="M16" s="21">
        <f>AB69</f>
        <v>330</v>
      </c>
      <c r="N16" s="19">
        <f>AC69</f>
        <v>15.012708261481595</v>
      </c>
      <c r="O16" s="19">
        <v>50</v>
      </c>
      <c r="P16" s="19">
        <f t="shared" si="2"/>
        <v>7.5063541307407977</v>
      </c>
      <c r="Q16" s="1">
        <f t="shared" si="3"/>
        <v>7.8055085553812844E-3</v>
      </c>
      <c r="S16" s="197">
        <v>8.2853632649636712E-3</v>
      </c>
      <c r="W16" s="197">
        <v>7.8055085553812844E-3</v>
      </c>
      <c r="Z16" t="s">
        <v>20</v>
      </c>
      <c r="AA16" s="136" t="s">
        <v>20</v>
      </c>
      <c r="AB16" s="23">
        <v>7.8055085553812844E-3</v>
      </c>
    </row>
    <row r="17" spans="2:28" ht="24.6" customHeight="1" x14ac:dyDescent="0.25">
      <c r="B17" s="16" t="s">
        <v>45</v>
      </c>
      <c r="C17" s="22" t="s">
        <v>46</v>
      </c>
      <c r="D17" s="18">
        <v>0</v>
      </c>
      <c r="E17" s="19">
        <v>0</v>
      </c>
      <c r="F17" s="19" t="s">
        <v>44</v>
      </c>
      <c r="G17" s="21">
        <v>310</v>
      </c>
      <c r="H17" s="19">
        <v>13.311764705882354</v>
      </c>
      <c r="I17" s="19">
        <v>100</v>
      </c>
      <c r="J17" s="19">
        <f t="shared" si="1"/>
        <v>13.311764705882354</v>
      </c>
      <c r="K17" s="19" t="s">
        <v>42</v>
      </c>
      <c r="L17" s="1">
        <f t="shared" si="0"/>
        <v>2.2147036529246333E-2</v>
      </c>
      <c r="M17" s="21">
        <f>AB75</f>
        <v>340</v>
      </c>
      <c r="N17" s="19">
        <f>AC75</f>
        <v>14.600000000000001</v>
      </c>
      <c r="O17" s="19">
        <v>100</v>
      </c>
      <c r="P17" s="19">
        <f t="shared" si="2"/>
        <v>14.600000000000001</v>
      </c>
      <c r="Q17" s="1">
        <f t="shared" si="3"/>
        <v>1.5181860983864889E-2</v>
      </c>
      <c r="S17" s="198">
        <v>1.611518742142419E-2</v>
      </c>
      <c r="U17" s="3">
        <f>P17+P21</f>
        <v>23.188235294117646</v>
      </c>
      <c r="W17" s="198">
        <v>1.5181860983864889E-2</v>
      </c>
      <c r="Z17" t="s">
        <v>45</v>
      </c>
      <c r="AA17" s="136" t="s">
        <v>21</v>
      </c>
      <c r="AB17" s="23">
        <v>2.4112367444961882E-2</v>
      </c>
    </row>
    <row r="18" spans="2:28" ht="24.6" customHeight="1" x14ac:dyDescent="0.25">
      <c r="B18" s="16" t="s">
        <v>22</v>
      </c>
      <c r="C18" s="22">
        <v>266</v>
      </c>
      <c r="D18" s="18">
        <v>0</v>
      </c>
      <c r="E18" s="19">
        <v>0</v>
      </c>
      <c r="F18" s="19" t="s">
        <v>44</v>
      </c>
      <c r="G18" s="21">
        <v>240</v>
      </c>
      <c r="H18" s="19">
        <v>10.305882352941177</v>
      </c>
      <c r="I18" s="19">
        <v>100</v>
      </c>
      <c r="J18" s="19">
        <f t="shared" si="1"/>
        <v>10.305882352941177</v>
      </c>
      <c r="K18" s="19" t="s">
        <v>42</v>
      </c>
      <c r="L18" s="1">
        <f t="shared" si="0"/>
        <v>1.714609279683587E-2</v>
      </c>
      <c r="M18" s="21">
        <f>AB81</f>
        <v>380</v>
      </c>
      <c r="N18" s="19">
        <f>AC81</f>
        <v>16.317647058823528</v>
      </c>
      <c r="O18" s="19">
        <v>100</v>
      </c>
      <c r="P18" s="19">
        <f t="shared" si="2"/>
        <v>16.317647058823528</v>
      </c>
      <c r="Q18" s="1">
        <f t="shared" si="3"/>
        <v>1.6967962276084284E-2</v>
      </c>
      <c r="S18" s="197">
        <v>1.801109182394468E-2</v>
      </c>
      <c r="W18" s="197">
        <v>1.6967962276084284E-2</v>
      </c>
      <c r="Z18" t="s">
        <v>22</v>
      </c>
      <c r="AA18" s="136" t="s">
        <v>22</v>
      </c>
      <c r="AB18" s="23">
        <v>1.6967962276084284E-2</v>
      </c>
    </row>
    <row r="19" spans="2:28" ht="24.6" customHeight="1" x14ac:dyDescent="0.25">
      <c r="B19" s="16" t="s">
        <v>23</v>
      </c>
      <c r="C19" s="22">
        <v>357</v>
      </c>
      <c r="D19" s="18">
        <v>0</v>
      </c>
      <c r="E19" s="19">
        <v>0</v>
      </c>
      <c r="F19" s="19" t="s">
        <v>44</v>
      </c>
      <c r="G19" s="21">
        <v>200</v>
      </c>
      <c r="H19" s="19">
        <v>44.658823529411762</v>
      </c>
      <c r="I19" s="19">
        <v>50</v>
      </c>
      <c r="J19" s="19">
        <f t="shared" si="1"/>
        <v>22.329411764705881</v>
      </c>
      <c r="K19" s="19" t="s">
        <v>42</v>
      </c>
      <c r="L19" s="1">
        <f t="shared" si="0"/>
        <v>3.7149867726477714E-2</v>
      </c>
      <c r="M19" s="21">
        <f>AB78</f>
        <v>600</v>
      </c>
      <c r="N19" s="19">
        <f>AC78</f>
        <v>66.988235294117658</v>
      </c>
      <c r="O19" s="19">
        <v>50</v>
      </c>
      <c r="P19" s="19">
        <f t="shared" si="2"/>
        <v>33.494117647058829</v>
      </c>
      <c r="Q19" s="1">
        <f t="shared" si="3"/>
        <v>3.4828975198278274E-2</v>
      </c>
      <c r="S19" s="197">
        <v>3.6970135849149613E-2</v>
      </c>
      <c r="W19" s="197">
        <v>3.4828975198278274E-2</v>
      </c>
      <c r="Z19" t="s">
        <v>23</v>
      </c>
      <c r="AA19" s="136" t="s">
        <v>23</v>
      </c>
      <c r="AB19" s="23">
        <v>3.4828975198278274E-2</v>
      </c>
    </row>
    <row r="20" spans="2:28" ht="24.6" customHeight="1" x14ac:dyDescent="0.25">
      <c r="B20" s="16" t="s">
        <v>24</v>
      </c>
      <c r="C20" s="22">
        <v>198</v>
      </c>
      <c r="D20" s="18">
        <v>0</v>
      </c>
      <c r="E20" s="19">
        <v>0</v>
      </c>
      <c r="F20" s="19" t="s">
        <v>44</v>
      </c>
      <c r="G20" s="21">
        <v>200</v>
      </c>
      <c r="H20" s="19">
        <v>8.5882352941176467</v>
      </c>
      <c r="I20" s="19">
        <v>100</v>
      </c>
      <c r="J20" s="19">
        <f t="shared" si="1"/>
        <v>8.5882352941176467</v>
      </c>
      <c r="K20" s="19" t="s">
        <v>43</v>
      </c>
      <c r="L20" s="1">
        <f t="shared" si="0"/>
        <v>1.428841066402989E-2</v>
      </c>
      <c r="M20" s="21">
        <f>AB99</f>
        <v>350</v>
      </c>
      <c r="N20" s="19">
        <f>AC99</f>
        <v>15.029411764705879</v>
      </c>
      <c r="O20" s="19">
        <v>100</v>
      </c>
      <c r="P20" s="19">
        <f t="shared" si="2"/>
        <v>15.029411764705879</v>
      </c>
      <c r="Q20" s="1">
        <f t="shared" si="3"/>
        <v>1.5628386306919734E-2</v>
      </c>
      <c r="S20" s="197">
        <v>1.6589163522054307E-2</v>
      </c>
      <c r="W20" s="197">
        <v>1.5628386306919734E-2</v>
      </c>
      <c r="Z20" t="s">
        <v>24</v>
      </c>
      <c r="AA20" s="136" t="s">
        <v>24</v>
      </c>
      <c r="AB20" s="23">
        <v>1.5628386306919734E-2</v>
      </c>
    </row>
    <row r="21" spans="2:28" ht="24.6" customHeight="1" x14ac:dyDescent="0.25">
      <c r="B21" s="16" t="s">
        <v>47</v>
      </c>
      <c r="C21" s="22">
        <v>403</v>
      </c>
      <c r="D21" s="18">
        <v>0</v>
      </c>
      <c r="E21" s="19">
        <v>0</v>
      </c>
      <c r="F21" s="19" t="s">
        <v>44</v>
      </c>
      <c r="G21" s="21">
        <v>150</v>
      </c>
      <c r="H21" s="19">
        <v>6.4411764705882355</v>
      </c>
      <c r="I21" s="19">
        <v>100</v>
      </c>
      <c r="J21" s="19">
        <f t="shared" si="1"/>
        <v>6.4411764705882355</v>
      </c>
      <c r="K21" s="19" t="s">
        <v>40</v>
      </c>
      <c r="L21" s="1">
        <f t="shared" si="0"/>
        <v>1.0716307998022418E-2</v>
      </c>
      <c r="M21" s="21">
        <f>AB60</f>
        <v>200</v>
      </c>
      <c r="N21" s="19">
        <f>AC60</f>
        <v>8.5882352941176467</v>
      </c>
      <c r="O21" s="19">
        <v>100</v>
      </c>
      <c r="P21" s="19">
        <f t="shared" si="2"/>
        <v>8.5882352941176467</v>
      </c>
      <c r="Q21" s="1">
        <f t="shared" si="3"/>
        <v>8.9305064610969917E-3</v>
      </c>
      <c r="R21" s="23">
        <f>Q17+Q21</f>
        <v>2.4112367444961882E-2</v>
      </c>
      <c r="S21" s="198">
        <v>9.4795220126024631E-3</v>
      </c>
      <c r="U21" s="199">
        <f>S17+S21</f>
        <v>2.5594709434026655E-2</v>
      </c>
      <c r="W21" s="198">
        <v>8.9305064610969917E-3</v>
      </c>
      <c r="Y21" s="199">
        <f>W17+W21</f>
        <v>2.4112367444961882E-2</v>
      </c>
      <c r="Z21" t="s">
        <v>47</v>
      </c>
      <c r="AA21" s="136" t="s">
        <v>25</v>
      </c>
      <c r="AB21" s="23">
        <v>5.715524135102075E-3</v>
      </c>
    </row>
    <row r="22" spans="2:28" ht="24.6" customHeight="1" x14ac:dyDescent="0.25">
      <c r="B22" s="16" t="s">
        <v>25</v>
      </c>
      <c r="C22" s="22">
        <v>131</v>
      </c>
      <c r="D22" s="18">
        <v>0</v>
      </c>
      <c r="E22" s="19">
        <v>0</v>
      </c>
      <c r="F22" s="19" t="s">
        <v>41</v>
      </c>
      <c r="G22" s="21">
        <v>128</v>
      </c>
      <c r="H22" s="19">
        <v>5.4964705882352938</v>
      </c>
      <c r="I22" s="19">
        <v>100</v>
      </c>
      <c r="J22" s="19">
        <f t="shared" si="1"/>
        <v>5.4964705882352938</v>
      </c>
      <c r="K22" s="19" t="s">
        <v>42</v>
      </c>
      <c r="L22" s="1">
        <f t="shared" si="0"/>
        <v>9.1445828249791302E-3</v>
      </c>
      <c r="M22" s="21">
        <f>AB83</f>
        <v>128</v>
      </c>
      <c r="N22" s="19">
        <f>AC83</f>
        <v>5.4964705882352938</v>
      </c>
      <c r="O22" s="19">
        <v>100</v>
      </c>
      <c r="P22" s="19">
        <f t="shared" si="2"/>
        <v>5.4964705882352938</v>
      </c>
      <c r="Q22" s="1">
        <f t="shared" si="3"/>
        <v>5.715524135102075E-3</v>
      </c>
      <c r="R22" s="23"/>
      <c r="S22" s="197">
        <v>6.0668940880655763E-3</v>
      </c>
      <c r="W22" s="197">
        <v>5.715524135102075E-3</v>
      </c>
      <c r="Z22" t="s">
        <v>25</v>
      </c>
      <c r="AA22" s="136" t="s">
        <v>94</v>
      </c>
      <c r="AB22" s="23">
        <v>2.2772791475797336E-2</v>
      </c>
    </row>
    <row r="23" spans="2:28" ht="24.6" customHeight="1" x14ac:dyDescent="0.25">
      <c r="B23" s="28" t="s">
        <v>94</v>
      </c>
      <c r="C23" s="22">
        <v>440</v>
      </c>
      <c r="D23" s="21">
        <v>0</v>
      </c>
      <c r="E23" s="19">
        <v>0</v>
      </c>
      <c r="F23" s="19" t="s">
        <v>41</v>
      </c>
      <c r="G23" s="21">
        <v>440</v>
      </c>
      <c r="H23" s="19">
        <f>X86</f>
        <v>19.271999999999998</v>
      </c>
      <c r="I23" s="19">
        <v>100</v>
      </c>
      <c r="J23" s="19">
        <f t="shared" si="1"/>
        <v>19.271999999999998</v>
      </c>
      <c r="K23" s="19" t="s">
        <v>42</v>
      </c>
      <c r="L23" s="1">
        <f>J24/$J$34</f>
        <v>1.4574178877310492E-2</v>
      </c>
      <c r="M23" s="21">
        <v>500</v>
      </c>
      <c r="N23" s="19">
        <f>AC86</f>
        <v>21.900000000000006</v>
      </c>
      <c r="O23" s="19">
        <v>100</v>
      </c>
      <c r="P23" s="19">
        <f t="shared" si="2"/>
        <v>21.900000000000006</v>
      </c>
      <c r="Q23" s="1">
        <f t="shared" si="3"/>
        <v>2.2772791475797336E-2</v>
      </c>
      <c r="S23" s="197">
        <v>2.4172781132136289E-2</v>
      </c>
      <c r="W23" s="197">
        <v>2.2772791475797336E-2</v>
      </c>
      <c r="Z23" t="s">
        <v>94</v>
      </c>
      <c r="AA23" s="136" t="s">
        <v>95</v>
      </c>
      <c r="AB23" s="23">
        <v>1.821823318063787E-2</v>
      </c>
    </row>
    <row r="24" spans="2:28" ht="24.6" customHeight="1" x14ac:dyDescent="0.25">
      <c r="B24" s="28" t="s">
        <v>95</v>
      </c>
      <c r="C24" s="226">
        <v>200</v>
      </c>
      <c r="D24" s="21">
        <v>0</v>
      </c>
      <c r="E24" s="19">
        <v>0</v>
      </c>
      <c r="F24" s="19" t="s">
        <v>41</v>
      </c>
      <c r="G24" s="21">
        <v>200</v>
      </c>
      <c r="H24" s="19">
        <f>X85</f>
        <v>8.7600000000000016</v>
      </c>
      <c r="I24" s="19">
        <v>100</v>
      </c>
      <c r="J24" s="19">
        <f t="shared" si="1"/>
        <v>8.7600000000000016</v>
      </c>
      <c r="K24" s="19" t="s">
        <v>42</v>
      </c>
      <c r="L24" s="1">
        <f>J23/$J$34</f>
        <v>3.2063193530083071E-2</v>
      </c>
      <c r="M24" s="21">
        <v>400</v>
      </c>
      <c r="N24" s="19">
        <f>AC85</f>
        <v>17.520000000000003</v>
      </c>
      <c r="O24" s="19">
        <v>100</v>
      </c>
      <c r="P24" s="19">
        <f t="shared" si="2"/>
        <v>17.520000000000003</v>
      </c>
      <c r="Q24" s="1">
        <f t="shared" si="3"/>
        <v>1.821823318063787E-2</v>
      </c>
      <c r="S24" s="197">
        <v>1.933822490570903E-2</v>
      </c>
      <c r="W24" s="197">
        <v>1.821823318063787E-2</v>
      </c>
      <c r="Z24" t="s">
        <v>95</v>
      </c>
      <c r="AA24" s="78" t="s">
        <v>98</v>
      </c>
      <c r="AB24" s="23">
        <v>2.2772791475797329E-2</v>
      </c>
    </row>
    <row r="25" spans="2:28" ht="24.6" customHeight="1" x14ac:dyDescent="0.25">
      <c r="B25" s="28" t="s">
        <v>98</v>
      </c>
      <c r="C25" s="21">
        <v>420</v>
      </c>
      <c r="D25" s="21">
        <v>0</v>
      </c>
      <c r="E25" s="19">
        <v>0</v>
      </c>
      <c r="F25" s="19" t="s">
        <v>41</v>
      </c>
      <c r="G25" s="21">
        <v>420</v>
      </c>
      <c r="H25" s="19">
        <f>X101</f>
        <v>18.396000000000001</v>
      </c>
      <c r="I25" s="19">
        <v>100</v>
      </c>
      <c r="J25" s="19">
        <f t="shared" ref="J25:J26" si="4">H25*I25/100</f>
        <v>18.396000000000001</v>
      </c>
      <c r="K25" s="19" t="s">
        <v>43</v>
      </c>
      <c r="L25" s="1">
        <f>J24/$J$34</f>
        <v>1.4574178877310492E-2</v>
      </c>
      <c r="M25" s="21">
        <v>500</v>
      </c>
      <c r="N25" s="19">
        <f>AC101</f>
        <v>21.9</v>
      </c>
      <c r="O25" s="19">
        <v>100</v>
      </c>
      <c r="P25" s="19">
        <f t="shared" ref="P25:P27" si="5">N25*O25/100</f>
        <v>21.9</v>
      </c>
      <c r="Q25" s="1">
        <f t="shared" si="3"/>
        <v>2.2772791475797329E-2</v>
      </c>
      <c r="S25" s="219"/>
      <c r="W25" s="219">
        <v>2.2772791475797329E-2</v>
      </c>
      <c r="Z25" t="s">
        <v>98</v>
      </c>
      <c r="AA25" s="78" t="s">
        <v>99</v>
      </c>
      <c r="AB25" s="23">
        <v>1.36636748854784E-2</v>
      </c>
    </row>
    <row r="26" spans="2:28" ht="24.6" customHeight="1" x14ac:dyDescent="0.25">
      <c r="B26" s="28" t="s">
        <v>99</v>
      </c>
      <c r="C26" s="21">
        <v>195</v>
      </c>
      <c r="D26" s="21">
        <v>0</v>
      </c>
      <c r="E26" s="19">
        <v>0</v>
      </c>
      <c r="F26" s="19" t="s">
        <v>41</v>
      </c>
      <c r="G26" s="21">
        <v>195</v>
      </c>
      <c r="H26" s="19">
        <f>X103</f>
        <v>8.5410000000000004</v>
      </c>
      <c r="I26" s="19">
        <v>100</v>
      </c>
      <c r="J26" s="19">
        <f t="shared" si="4"/>
        <v>8.5410000000000004</v>
      </c>
      <c r="K26" s="19" t="s">
        <v>43</v>
      </c>
      <c r="L26" s="1">
        <f>J25/$J$34</f>
        <v>3.0605775642352027E-2</v>
      </c>
      <c r="M26" s="21">
        <v>300</v>
      </c>
      <c r="N26" s="19">
        <f>AC103</f>
        <v>13.14</v>
      </c>
      <c r="O26" s="19">
        <v>100</v>
      </c>
      <c r="P26" s="19">
        <f t="shared" si="5"/>
        <v>13.14</v>
      </c>
      <c r="Q26" s="1">
        <f t="shared" si="3"/>
        <v>1.36636748854784E-2</v>
      </c>
      <c r="S26" s="219"/>
      <c r="W26" s="219">
        <v>1.36636748854784E-2</v>
      </c>
      <c r="Z26" t="s">
        <v>99</v>
      </c>
      <c r="AA26" s="28" t="s">
        <v>18</v>
      </c>
      <c r="AB26" s="23">
        <v>2.1433215506632783E-2</v>
      </c>
    </row>
    <row r="27" spans="2:28" ht="24.6" customHeight="1" x14ac:dyDescent="0.25">
      <c r="B27" s="28" t="s">
        <v>18</v>
      </c>
      <c r="C27" s="21">
        <v>480</v>
      </c>
      <c r="D27" s="21"/>
      <c r="E27" s="19"/>
      <c r="F27" s="19"/>
      <c r="G27" s="21"/>
      <c r="H27" s="19"/>
      <c r="I27" s="19"/>
      <c r="J27" s="19"/>
      <c r="K27" s="19"/>
      <c r="L27" s="1"/>
      <c r="M27" s="21">
        <v>480</v>
      </c>
      <c r="N27" s="231">
        <f>AA100</f>
        <v>20.611764705882354</v>
      </c>
      <c r="O27" s="19">
        <v>100</v>
      </c>
      <c r="P27" s="19">
        <f t="shared" si="5"/>
        <v>20.611764705882354</v>
      </c>
      <c r="Q27" s="1">
        <f t="shared" si="3"/>
        <v>2.1433215506632783E-2</v>
      </c>
      <c r="S27" s="219"/>
      <c r="W27" s="219">
        <v>2.1433215506632783E-2</v>
      </c>
      <c r="AA27" s="28" t="s">
        <v>15</v>
      </c>
      <c r="AB27" s="23"/>
    </row>
    <row r="28" spans="2:28" ht="24.6" customHeight="1" x14ac:dyDescent="0.25">
      <c r="B28" s="28" t="s">
        <v>15</v>
      </c>
      <c r="C28" s="21"/>
      <c r="D28" s="21"/>
      <c r="E28" s="19"/>
      <c r="F28" s="19"/>
      <c r="G28" s="21"/>
      <c r="H28" s="19"/>
      <c r="I28" s="19"/>
      <c r="J28" s="19"/>
      <c r="K28" s="19"/>
      <c r="L28" s="1"/>
      <c r="M28" s="21"/>
      <c r="N28" s="19"/>
      <c r="O28" s="19"/>
      <c r="P28" s="19"/>
      <c r="Q28" s="1"/>
      <c r="S28" s="219"/>
      <c r="W28" s="219"/>
      <c r="AB28" s="23">
        <f>SUM(AB6:AB27)</f>
        <v>1.0000000000000002</v>
      </c>
    </row>
    <row r="29" spans="2:28" ht="24.6" customHeight="1" x14ac:dyDescent="0.25">
      <c r="B29" s="182"/>
      <c r="C29" s="184"/>
      <c r="D29" s="183"/>
      <c r="E29" s="27"/>
      <c r="F29" s="27"/>
      <c r="G29" s="183"/>
      <c r="H29" s="27"/>
      <c r="I29" s="27"/>
      <c r="K29" s="27"/>
      <c r="L29" s="31"/>
      <c r="M29" s="230">
        <f>SUM(M6:M28)</f>
        <v>28618</v>
      </c>
      <c r="N29" s="27"/>
      <c r="O29" s="27"/>
      <c r="P29" s="230">
        <f>SUM(P6:P28)</f>
        <v>961.67393546263645</v>
      </c>
      <c r="Q29" s="31"/>
      <c r="S29" s="23"/>
    </row>
    <row r="30" spans="2:28" ht="20.25" customHeight="1" x14ac:dyDescent="0.25">
      <c r="B30" s="24"/>
      <c r="C30" s="24"/>
      <c r="D30" s="25"/>
      <c r="E30" s="26"/>
      <c r="F30" s="27"/>
      <c r="G30" s="27"/>
      <c r="H30" s="27"/>
      <c r="I30" s="27"/>
      <c r="J30" s="27"/>
      <c r="K30" s="27"/>
      <c r="M30" s="27"/>
      <c r="N30" s="27"/>
      <c r="O30" s="27"/>
      <c r="P30" s="27"/>
    </row>
    <row r="31" spans="2:28" ht="24.6" customHeight="1" x14ac:dyDescent="0.25">
      <c r="B31" s="28" t="s">
        <v>48</v>
      </c>
      <c r="C31" s="29"/>
      <c r="D31" s="21">
        <f>R61</f>
        <v>11220</v>
      </c>
      <c r="E31" s="19">
        <f>S60</f>
        <v>602.13692263164228</v>
      </c>
      <c r="F31" s="30"/>
      <c r="G31" s="19">
        <f>W61</f>
        <v>14861</v>
      </c>
      <c r="H31" s="19">
        <f>X61</f>
        <v>781.37771179164849</v>
      </c>
      <c r="I31" s="30"/>
      <c r="J31" s="19">
        <f>J6+J7+J9+J11+J12+J13+J14+J21</f>
        <v>402.19023511163965</v>
      </c>
      <c r="K31" s="30"/>
      <c r="L31" s="31">
        <f>SUM(L6:L24)</f>
        <v>1.0466373724073932</v>
      </c>
      <c r="M31" s="19">
        <f>AB61</f>
        <v>20081</v>
      </c>
      <c r="N31" s="19">
        <f>AC61</f>
        <v>1073.2083394766055</v>
      </c>
      <c r="O31" s="30"/>
      <c r="P31" s="19">
        <f>P6+P7+P9+P11+P12+P13+P14+P21</f>
        <v>554.03879517859525</v>
      </c>
      <c r="Q31" s="31">
        <f>SUM(Q6:Q28)</f>
        <v>1</v>
      </c>
      <c r="S31" s="31">
        <f>SUM(S6:S24)</f>
        <v>0.93933105911934411</v>
      </c>
    </row>
    <row r="32" spans="2:28" ht="24.6" customHeight="1" x14ac:dyDescent="0.25">
      <c r="B32" s="32" t="s">
        <v>49</v>
      </c>
      <c r="C32" s="33"/>
      <c r="D32" s="21">
        <f>R88</f>
        <v>1230</v>
      </c>
      <c r="E32" s="19">
        <f>S84</f>
        <v>92.631693240829662</v>
      </c>
      <c r="F32" s="30"/>
      <c r="G32" s="19">
        <f>W88</f>
        <v>3537</v>
      </c>
      <c r="H32" s="19">
        <f>X88</f>
        <v>196.17020751842938</v>
      </c>
      <c r="I32" s="30"/>
      <c r="J32" s="19">
        <f>J8+J15+J16+J17+J18+J19+J22</f>
        <v>138.56094750533566</v>
      </c>
      <c r="K32" s="30"/>
      <c r="M32" s="19">
        <f>AB88</f>
        <v>5867</v>
      </c>
      <c r="N32" s="19">
        <f>AC88</f>
        <v>312.30409179089338</v>
      </c>
      <c r="O32" s="30"/>
      <c r="P32" s="19">
        <f>P8+P15+P16+P17+P18+P19+P22</f>
        <v>231.88362001309372</v>
      </c>
    </row>
    <row r="33" spans="2:32" ht="24.6" customHeight="1" x14ac:dyDescent="0.25">
      <c r="B33" s="34" t="s">
        <v>50</v>
      </c>
      <c r="C33" s="35"/>
      <c r="D33" s="21">
        <f>R104</f>
        <v>520</v>
      </c>
      <c r="E33" s="19">
        <f>S100</f>
        <v>38.487921402907673</v>
      </c>
      <c r="F33" s="30"/>
      <c r="G33" s="19">
        <f>W104</f>
        <v>1980</v>
      </c>
      <c r="H33" s="19">
        <f>X104</f>
        <v>102.39419238150728</v>
      </c>
      <c r="I33" s="30"/>
      <c r="J33" s="19" t="e">
        <f>J10+#REF!+#REF!+J20</f>
        <v>#REF!</v>
      </c>
      <c r="K33" s="30"/>
      <c r="M33" s="19">
        <f>AB104</f>
        <v>2670</v>
      </c>
      <c r="N33" s="19">
        <f>AC104</f>
        <v>135.64446144741811</v>
      </c>
      <c r="O33" s="30"/>
      <c r="P33" s="19" t="e">
        <f>P10+#REF!+#REF!+P20</f>
        <v>#REF!</v>
      </c>
    </row>
    <row r="34" spans="2:32" ht="33" customHeight="1" x14ac:dyDescent="0.25">
      <c r="B34" s="32" t="s">
        <v>51</v>
      </c>
      <c r="C34" s="36">
        <f>SUM(C6:C26)</f>
        <v>19473</v>
      </c>
      <c r="D34" s="37">
        <f>D31+D32+D33</f>
        <v>12970</v>
      </c>
      <c r="E34" s="38">
        <f>E31+E32+E33</f>
        <v>733.25653727537963</v>
      </c>
      <c r="F34" s="39"/>
      <c r="G34" s="37">
        <f>SUM(G31:G33)</f>
        <v>20378</v>
      </c>
      <c r="H34" s="38">
        <f>H31+H32+H33</f>
        <v>1079.9421116915851</v>
      </c>
      <c r="J34" s="38">
        <f>SUM(J6:J22)</f>
        <v>601.06302205730617</v>
      </c>
      <c r="M34" s="38">
        <f>SUM(M31:M33)</f>
        <v>28618</v>
      </c>
      <c r="N34" s="38">
        <f>N31+N32+N33</f>
        <v>1521.1568927149169</v>
      </c>
      <c r="P34" s="38">
        <f>SUM(P6:P26)</f>
        <v>941.06217075675409</v>
      </c>
    </row>
    <row r="35" spans="2:32" ht="15.75" thickBot="1" x14ac:dyDescent="0.3">
      <c r="B35" t="s">
        <v>52</v>
      </c>
      <c r="E35" s="30">
        <f>H34-E34</f>
        <v>346.68557441620544</v>
      </c>
    </row>
    <row r="36" spans="2:32" ht="15.75" thickBot="1" x14ac:dyDescent="0.3">
      <c r="S36" s="40"/>
    </row>
    <row r="37" spans="2:32" ht="26.25" thickBot="1" x14ac:dyDescent="0.3">
      <c r="D37" s="3">
        <f>M34-D34</f>
        <v>15648</v>
      </c>
      <c r="J37" s="41" t="s">
        <v>53</v>
      </c>
      <c r="K37" s="42" t="s">
        <v>54</v>
      </c>
      <c r="L37" s="43" t="s">
        <v>55</v>
      </c>
      <c r="M37" s="40"/>
      <c r="N37" s="40"/>
      <c r="O37" s="40"/>
      <c r="P37" s="40"/>
      <c r="Q37" s="40"/>
      <c r="R37" s="40"/>
      <c r="S37" s="44"/>
      <c r="T37" s="43">
        <v>2025</v>
      </c>
      <c r="U37" s="40"/>
      <c r="V37" s="40"/>
      <c r="W37" s="40"/>
      <c r="X37" s="40"/>
      <c r="Y37" s="43">
        <v>2040</v>
      </c>
      <c r="Z37" s="40"/>
      <c r="AA37" s="45"/>
      <c r="AB37" s="40"/>
      <c r="AC37" s="40"/>
    </row>
    <row r="38" spans="2:32" ht="17.25" thickBot="1" x14ac:dyDescent="0.3">
      <c r="J38" s="41"/>
      <c r="K38" s="42" t="s">
        <v>56</v>
      </c>
      <c r="L38" s="46" t="s">
        <v>57</v>
      </c>
      <c r="M38" s="47" t="s">
        <v>58</v>
      </c>
      <c r="N38" s="44" t="s">
        <v>59</v>
      </c>
      <c r="O38" s="44" t="s">
        <v>60</v>
      </c>
      <c r="P38" s="44" t="s">
        <v>61</v>
      </c>
      <c r="Q38" s="44" t="s">
        <v>62</v>
      </c>
      <c r="R38" s="44"/>
      <c r="S38" s="48"/>
      <c r="T38" s="47" t="s">
        <v>57</v>
      </c>
      <c r="U38" s="44" t="s">
        <v>60</v>
      </c>
      <c r="V38" s="44" t="s">
        <v>62</v>
      </c>
      <c r="W38" s="44"/>
      <c r="X38" s="44"/>
      <c r="Y38" s="47" t="s">
        <v>57</v>
      </c>
      <c r="Z38" s="47" t="s">
        <v>60</v>
      </c>
      <c r="AA38" s="49" t="s">
        <v>62</v>
      </c>
      <c r="AB38" s="44"/>
      <c r="AC38" s="44"/>
      <c r="AE38" s="47" t="s">
        <v>101</v>
      </c>
      <c r="AF38" s="47" t="s">
        <v>60</v>
      </c>
    </row>
    <row r="39" spans="2:32" ht="15.75" thickBot="1" x14ac:dyDescent="0.3">
      <c r="J39" s="50"/>
      <c r="K39" s="51"/>
      <c r="L39" s="52" t="s">
        <v>36</v>
      </c>
      <c r="M39" s="53" t="s">
        <v>63</v>
      </c>
      <c r="N39" s="48" t="s">
        <v>64</v>
      </c>
      <c r="O39" s="48" t="s">
        <v>64</v>
      </c>
      <c r="P39" s="48" t="s">
        <v>37</v>
      </c>
      <c r="Q39" s="48" t="s">
        <v>37</v>
      </c>
      <c r="R39" s="48"/>
      <c r="S39" s="54">
        <f>SUM(Q40:Q43)</f>
        <v>468.96892919254657</v>
      </c>
      <c r="T39" s="55" t="s">
        <v>36</v>
      </c>
      <c r="U39" s="48" t="s">
        <v>64</v>
      </c>
      <c r="V39" s="48" t="s">
        <v>37</v>
      </c>
      <c r="W39" s="48"/>
      <c r="X39" s="48"/>
      <c r="Y39" s="55" t="s">
        <v>36</v>
      </c>
      <c r="Z39" s="55" t="s">
        <v>64</v>
      </c>
      <c r="AA39" s="56" t="s">
        <v>37</v>
      </c>
      <c r="AB39" s="48"/>
      <c r="AC39" s="48"/>
      <c r="AE39" s="55" t="s">
        <v>102</v>
      </c>
      <c r="AF39" s="55" t="s">
        <v>64</v>
      </c>
    </row>
    <row r="40" spans="2:32" x14ac:dyDescent="0.25">
      <c r="J40" s="57" t="s">
        <v>8</v>
      </c>
      <c r="K40" s="58" t="s">
        <v>8</v>
      </c>
      <c r="L40" s="59">
        <v>8052</v>
      </c>
      <c r="M40" s="60">
        <v>120.6</v>
      </c>
      <c r="N40" s="61">
        <v>11.239249999999998</v>
      </c>
      <c r="O40" s="54">
        <v>13.961801242236023</v>
      </c>
      <c r="P40" s="62">
        <f>N40*60*60*24*365/1000/1000</f>
        <v>354.440988</v>
      </c>
      <c r="Q40" s="54">
        <f>O40*60*60*24*365/1000/1000</f>
        <v>440.29936397515525</v>
      </c>
      <c r="R40" s="54">
        <v>8052</v>
      </c>
      <c r="S40" s="63"/>
      <c r="T40" s="64">
        <v>10000</v>
      </c>
      <c r="U40" s="54">
        <v>17.339544513457557</v>
      </c>
      <c r="V40" s="54">
        <f>U40*60*60*24*365/1000/1000</f>
        <v>546.81987577639745</v>
      </c>
      <c r="W40" s="54">
        <f t="shared" ref="W40" si="6">SUM(T40:T43)</f>
        <v>10000</v>
      </c>
      <c r="X40" s="54">
        <f>SUM(V40:V43)</f>
        <v>576.92291925465838</v>
      </c>
      <c r="Y40" s="64">
        <v>14000</v>
      </c>
      <c r="Z40" s="64">
        <v>24.154589371980673</v>
      </c>
      <c r="AA40" s="65">
        <f>Z40*60*60*24*365/1000/1000</f>
        <v>761.73913043478262</v>
      </c>
      <c r="AB40" s="54">
        <f t="shared" ref="AB40" si="7">SUM(Y40:Y43)</f>
        <v>14000</v>
      </c>
      <c r="AC40" s="54">
        <f>SUM(AA40:AA43)</f>
        <v>789.78216894409945</v>
      </c>
    </row>
    <row r="41" spans="2:32" x14ac:dyDescent="0.25">
      <c r="J41" s="66"/>
      <c r="K41" s="67" t="s">
        <v>65</v>
      </c>
      <c r="L41" s="63"/>
      <c r="M41" s="63"/>
      <c r="N41" s="63"/>
      <c r="O41" s="63"/>
      <c r="P41" s="63"/>
      <c r="Q41" s="63"/>
      <c r="R41" s="63"/>
      <c r="S41" s="68"/>
      <c r="T41" s="63"/>
      <c r="U41" s="63"/>
      <c r="V41" s="63"/>
      <c r="W41" s="63"/>
      <c r="X41" s="63"/>
      <c r="Y41" s="63"/>
      <c r="Z41" s="63"/>
      <c r="AA41" s="69"/>
      <c r="AB41" s="63"/>
      <c r="AC41" s="63"/>
    </row>
    <row r="42" spans="2:32" x14ac:dyDescent="0.25">
      <c r="J42" s="66"/>
      <c r="K42" s="70" t="s">
        <v>66</v>
      </c>
      <c r="L42" s="71"/>
      <c r="M42" s="72"/>
      <c r="N42" s="73">
        <v>3.7988330796549979E-2</v>
      </c>
      <c r="O42" s="74">
        <v>4.7190473039192521E-2</v>
      </c>
      <c r="P42" s="20">
        <f t="shared" ref="P42:P45" si="8">N42*60*60*24*365/1000/1000</f>
        <v>1.1980000000000002</v>
      </c>
      <c r="Q42" s="74">
        <f>O42*60*60*24*365/1000/1000</f>
        <v>1.488198757763975</v>
      </c>
      <c r="R42" s="68"/>
      <c r="S42" s="68"/>
      <c r="T42" s="75"/>
      <c r="U42" s="74">
        <v>4.9549996691152148E-2</v>
      </c>
      <c r="V42" s="74">
        <f>U42*60*60*24*365/1000/1000</f>
        <v>1.5626086956521743</v>
      </c>
      <c r="W42" s="68"/>
      <c r="X42" s="68"/>
      <c r="Y42" s="75"/>
      <c r="Z42" s="75">
        <v>5.6628567647031017E-2</v>
      </c>
      <c r="AA42" s="76">
        <f t="shared" ref="AA42:AA45" si="9">Z42*60*60*24*365/1000/1000</f>
        <v>1.7858385093167699</v>
      </c>
      <c r="AB42" s="68"/>
      <c r="AC42" s="68"/>
    </row>
    <row r="43" spans="2:32" x14ac:dyDescent="0.25">
      <c r="J43" s="77"/>
      <c r="K43" s="70" t="s">
        <v>67</v>
      </c>
      <c r="L43" s="71"/>
      <c r="M43" s="72"/>
      <c r="N43" s="73">
        <v>0.69384195839675289</v>
      </c>
      <c r="O43" s="74">
        <v>0.86191547626925824</v>
      </c>
      <c r="P43" s="20">
        <f t="shared" si="8"/>
        <v>21.880999999999997</v>
      </c>
      <c r="Q43" s="74">
        <f>O43*60*60*24*365/1000/1000</f>
        <v>27.181366459627331</v>
      </c>
      <c r="R43" s="68"/>
      <c r="S43" s="74">
        <f>Q44</f>
        <v>52.774204884736051</v>
      </c>
      <c r="T43" s="75"/>
      <c r="U43" s="74">
        <v>0.90501125008272121</v>
      </c>
      <c r="V43" s="74">
        <f>U43*60*60*24*365/1000/1000</f>
        <v>28.540434782608695</v>
      </c>
      <c r="W43" s="68"/>
      <c r="X43" s="68"/>
      <c r="Y43" s="75"/>
      <c r="Z43" s="75">
        <v>0.8326103500761034</v>
      </c>
      <c r="AA43" s="76">
        <f t="shared" si="9"/>
        <v>26.257199999999997</v>
      </c>
      <c r="AB43" s="68"/>
      <c r="AC43" s="68"/>
    </row>
    <row r="44" spans="2:32" x14ac:dyDescent="0.25">
      <c r="J44" s="78" t="s">
        <v>9</v>
      </c>
      <c r="K44" s="79" t="s">
        <v>9</v>
      </c>
      <c r="L44" s="80">
        <v>1100</v>
      </c>
      <c r="M44" s="81">
        <v>119.5</v>
      </c>
      <c r="N44" s="82">
        <v>1.521412037037037</v>
      </c>
      <c r="O44" s="74">
        <v>1.673459059003553</v>
      </c>
      <c r="P44" s="20">
        <f t="shared" si="8"/>
        <v>47.97925</v>
      </c>
      <c r="Q44" s="74">
        <f>O44*60*60*24*365/1000/1000</f>
        <v>52.774204884736051</v>
      </c>
      <c r="R44" s="74">
        <v>1100</v>
      </c>
      <c r="S44" s="83">
        <f>SUM(Q45:Q46)</f>
        <v>29.527223501893037</v>
      </c>
      <c r="T44" s="84">
        <v>1700</v>
      </c>
      <c r="U44" s="83">
        <v>2.5862549093691278</v>
      </c>
      <c r="V44" s="74">
        <f>U44*60*60*24*365/1000/1000</f>
        <v>81.560134821864821</v>
      </c>
      <c r="W44" s="74">
        <f t="shared" ref="W44" si="10">T44</f>
        <v>1700</v>
      </c>
      <c r="X44" s="74">
        <f>V44</f>
        <v>81.560134821864821</v>
      </c>
      <c r="Y44" s="84">
        <v>1950</v>
      </c>
      <c r="Z44" s="84">
        <v>2.978999009561289</v>
      </c>
      <c r="AA44" s="85">
        <f t="shared" si="9"/>
        <v>93.945712765524803</v>
      </c>
      <c r="AB44" s="74">
        <f t="shared" ref="AB44" si="11">Y44</f>
        <v>1950</v>
      </c>
      <c r="AC44" s="74">
        <f>AA44</f>
        <v>93.945712765524803</v>
      </c>
    </row>
    <row r="45" spans="2:32" x14ac:dyDescent="0.25">
      <c r="J45" s="78" t="s">
        <v>11</v>
      </c>
      <c r="K45" s="79" t="s">
        <v>11</v>
      </c>
      <c r="L45" s="86">
        <v>767</v>
      </c>
      <c r="M45" s="81">
        <v>90.6</v>
      </c>
      <c r="N45" s="73">
        <v>0.80428472222222214</v>
      </c>
      <c r="O45" s="83">
        <v>0.9363021151031532</v>
      </c>
      <c r="P45" s="19">
        <f t="shared" si="8"/>
        <v>25.363923</v>
      </c>
      <c r="Q45" s="83">
        <f>O45*60*60*24*365/1000/1000</f>
        <v>29.527223501893037</v>
      </c>
      <c r="R45" s="83">
        <v>767</v>
      </c>
      <c r="S45" s="20"/>
      <c r="T45" s="87">
        <v>817</v>
      </c>
      <c r="U45" s="83">
        <v>0.99733875885172907</v>
      </c>
      <c r="V45" s="83">
        <f>U45*60*60*24*365/1000/1000</f>
        <v>31.452075099148129</v>
      </c>
      <c r="W45" s="83">
        <f t="shared" ref="W45" si="12">SUM(T45:T46)</f>
        <v>817</v>
      </c>
      <c r="X45" s="83">
        <f>SUM(V45:V46)</f>
        <v>31.452075099148129</v>
      </c>
      <c r="Y45" s="88">
        <v>1017</v>
      </c>
      <c r="Z45" s="88">
        <v>1.3702928629647158</v>
      </c>
      <c r="AA45" s="85">
        <f t="shared" si="9"/>
        <v>43.213555726455269</v>
      </c>
      <c r="AB45" s="83">
        <f t="shared" ref="AB45" si="13">SUM(Y45:Y46)</f>
        <v>1017</v>
      </c>
      <c r="AC45" s="83">
        <f>SUM(AA45:AA46)</f>
        <v>43.213555726455269</v>
      </c>
    </row>
    <row r="46" spans="2:32" x14ac:dyDescent="0.25">
      <c r="J46" s="77"/>
      <c r="K46" s="79" t="s">
        <v>68</v>
      </c>
      <c r="L46" s="89"/>
      <c r="M46" s="90"/>
      <c r="N46" s="82"/>
      <c r="O46" s="20"/>
      <c r="P46" s="20"/>
      <c r="Q46" s="20"/>
      <c r="R46" s="20"/>
      <c r="S46" s="83">
        <f>Q47+Q48</f>
        <v>16.656584819714226</v>
      </c>
      <c r="T46" s="91"/>
      <c r="U46" s="20"/>
      <c r="V46" s="20"/>
      <c r="W46" s="20"/>
      <c r="X46" s="20"/>
      <c r="Y46" s="92"/>
      <c r="Z46" s="92"/>
      <c r="AA46" s="93"/>
      <c r="AB46" s="20"/>
      <c r="AC46" s="20"/>
    </row>
    <row r="47" spans="2:32" x14ac:dyDescent="0.25">
      <c r="J47" s="78" t="s">
        <v>13</v>
      </c>
      <c r="K47" s="79" t="s">
        <v>13</v>
      </c>
      <c r="L47" s="80">
        <v>600</v>
      </c>
      <c r="M47" s="94">
        <v>58.09</v>
      </c>
      <c r="N47" s="73">
        <v>0.40340277777777778</v>
      </c>
      <c r="O47" s="83">
        <v>0.52817683979306906</v>
      </c>
      <c r="P47" s="19">
        <f t="shared" ref="P47" si="14">N47*60*60*24*365/1000/1000</f>
        <v>12.72171</v>
      </c>
      <c r="Q47" s="83">
        <f>O47*60*60*24*365/1000/1000</f>
        <v>16.656584819714226</v>
      </c>
      <c r="R47" s="83">
        <v>600</v>
      </c>
      <c r="S47" s="74"/>
      <c r="T47" s="84">
        <v>630</v>
      </c>
      <c r="U47" s="83">
        <v>0.55468115186049538</v>
      </c>
      <c r="V47" s="83">
        <f>U47*60*60*24*365/1000/1000</f>
        <v>17.492424805072581</v>
      </c>
      <c r="W47" s="83">
        <f t="shared" ref="W47" si="15">T47+T48</f>
        <v>700</v>
      </c>
      <c r="X47" s="83">
        <f>V47+V48</f>
        <v>18.976879805072581</v>
      </c>
      <c r="Y47" s="84">
        <v>830</v>
      </c>
      <c r="Z47" s="84">
        <v>1.2577803897063387</v>
      </c>
      <c r="AA47" s="85">
        <f t="shared" ref="AA47:AA50" si="16">Z47*60*60*24*365/1000/1000</f>
        <v>39.665362369779089</v>
      </c>
      <c r="AB47" s="83">
        <f t="shared" ref="AB47" si="17">Y47+Y48</f>
        <v>900</v>
      </c>
      <c r="AC47" s="83">
        <f>AA47+AA48</f>
        <v>42.220362369779089</v>
      </c>
    </row>
    <row r="48" spans="2:32" x14ac:dyDescent="0.25">
      <c r="J48" s="77"/>
      <c r="K48" s="79" t="s">
        <v>69</v>
      </c>
      <c r="L48" s="95"/>
      <c r="M48" s="96"/>
      <c r="N48" s="82"/>
      <c r="O48" s="20"/>
      <c r="P48" s="20"/>
      <c r="Q48" s="20"/>
      <c r="R48" s="74"/>
      <c r="S48" s="83">
        <f>SUM(Q49:Q52)</f>
        <v>16.596477288450238</v>
      </c>
      <c r="T48" s="97">
        <v>70</v>
      </c>
      <c r="U48" s="74">
        <v>4.7071759259259265E-2</v>
      </c>
      <c r="V48" s="74">
        <f>U48*60*60*24*365/1000/1000</f>
        <v>1.4844550000000001</v>
      </c>
      <c r="W48" s="74"/>
      <c r="X48" s="74"/>
      <c r="Y48" s="97">
        <v>70</v>
      </c>
      <c r="Z48" s="97">
        <v>8.1018518518518517E-2</v>
      </c>
      <c r="AA48" s="76">
        <f t="shared" si="16"/>
        <v>2.5549999999999997</v>
      </c>
      <c r="AB48" s="74"/>
      <c r="AC48" s="74"/>
    </row>
    <row r="49" spans="10:29" x14ac:dyDescent="0.25">
      <c r="J49" s="78" t="s">
        <v>14</v>
      </c>
      <c r="K49" s="79" t="s">
        <v>14</v>
      </c>
      <c r="L49" s="80">
        <v>451</v>
      </c>
      <c r="M49" s="81">
        <v>83.1</v>
      </c>
      <c r="N49" s="73">
        <v>0.43377430555555552</v>
      </c>
      <c r="O49" s="83">
        <v>0.4766210276691959</v>
      </c>
      <c r="P49" s="19">
        <f t="shared" ref="P49" si="18">N49*60*60*24*365/1000/1000</f>
        <v>13.679506499999999</v>
      </c>
      <c r="Q49" s="83">
        <f>O49*60*60*24*365/1000/1000</f>
        <v>15.030720728575766</v>
      </c>
      <c r="R49" s="83">
        <v>451</v>
      </c>
      <c r="S49" s="74"/>
      <c r="T49" s="84">
        <v>437</v>
      </c>
      <c r="U49" s="83">
        <v>0.46182569643334503</v>
      </c>
      <c r="V49" s="83">
        <f>U49*60*60*24*365/1000/1000</f>
        <v>14.564135162721968</v>
      </c>
      <c r="W49" s="83">
        <f t="shared" ref="W49" si="19">SUM(T49:T52)</f>
        <v>617</v>
      </c>
      <c r="X49" s="83">
        <f>SUM(V49:V52)</f>
        <v>21.667849550590162</v>
      </c>
      <c r="Y49" s="84">
        <v>637</v>
      </c>
      <c r="Z49" s="84">
        <v>0.81009334684863366</v>
      </c>
      <c r="AA49" s="85">
        <f t="shared" si="16"/>
        <v>25.547103786218507</v>
      </c>
      <c r="AB49" s="83">
        <f t="shared" ref="AB49" si="20">SUM(Y49:Y52)</f>
        <v>817</v>
      </c>
      <c r="AC49" s="83">
        <f>SUM(AA49:AA52)</f>
        <v>33.996011658067872</v>
      </c>
    </row>
    <row r="50" spans="10:29" x14ac:dyDescent="0.25">
      <c r="J50" s="66"/>
      <c r="K50" s="79" t="s">
        <v>70</v>
      </c>
      <c r="L50" s="95"/>
      <c r="M50" s="90"/>
      <c r="N50" s="82"/>
      <c r="O50" s="20"/>
      <c r="P50" s="20"/>
      <c r="Q50" s="20"/>
      <c r="R50" s="74"/>
      <c r="S50" s="63"/>
      <c r="T50" s="97">
        <v>180</v>
      </c>
      <c r="U50" s="74">
        <v>0.17312499999999997</v>
      </c>
      <c r="V50" s="74">
        <f>U50*60*60*24*365/1000/1000</f>
        <v>5.45967</v>
      </c>
      <c r="W50" s="74"/>
      <c r="X50" s="74"/>
      <c r="Y50" s="97">
        <v>180</v>
      </c>
      <c r="Z50" s="97">
        <v>0.20833333333333334</v>
      </c>
      <c r="AA50" s="76">
        <f t="shared" si="16"/>
        <v>6.57</v>
      </c>
      <c r="AB50" s="74"/>
      <c r="AC50" s="74"/>
    </row>
    <row r="51" spans="10:29" x14ac:dyDescent="0.25">
      <c r="J51" s="66"/>
      <c r="K51" s="67" t="s">
        <v>65</v>
      </c>
      <c r="L51" s="63"/>
      <c r="M51" s="63"/>
      <c r="N51" s="63"/>
      <c r="O51" s="63"/>
      <c r="P51" s="63"/>
      <c r="Q51" s="63"/>
      <c r="R51" s="63"/>
      <c r="S51" s="98"/>
      <c r="T51" s="63"/>
      <c r="U51" s="63"/>
      <c r="V51" s="63"/>
      <c r="W51" s="63"/>
      <c r="X51" s="63"/>
      <c r="Y51" s="63"/>
      <c r="Z51" s="63"/>
      <c r="AA51" s="69"/>
      <c r="AB51" s="63"/>
      <c r="AC51" s="63"/>
    </row>
    <row r="52" spans="10:29" x14ac:dyDescent="0.25">
      <c r="J52" s="77"/>
      <c r="K52" s="70" t="s">
        <v>71</v>
      </c>
      <c r="L52" s="71"/>
      <c r="M52" s="72"/>
      <c r="N52" s="73">
        <v>4.5186453576864537E-2</v>
      </c>
      <c r="O52" s="83">
        <v>4.964981481083431E-2</v>
      </c>
      <c r="P52" s="19">
        <f t="shared" ref="P52:P53" si="21">N52*60*60*24*365/1000/1000</f>
        <v>1.425</v>
      </c>
      <c r="Q52" s="83">
        <f>O52*60*60*24*365/1000/1000</f>
        <v>1.5657565598744709</v>
      </c>
      <c r="R52" s="98"/>
      <c r="S52" s="83">
        <f>SUM(Q53:Q57)</f>
        <v>17.613502944302191</v>
      </c>
      <c r="T52" s="75"/>
      <c r="U52" s="83">
        <v>5.2132305551376025E-2</v>
      </c>
      <c r="V52" s="83">
        <f>U52*60*60*24*365/1000/1000</f>
        <v>1.6440443878681945</v>
      </c>
      <c r="W52" s="98"/>
      <c r="X52" s="98"/>
      <c r="Y52" s="75"/>
      <c r="Z52" s="75">
        <v>5.9579777773001164E-2</v>
      </c>
      <c r="AA52" s="85">
        <f t="shared" ref="AA52:AA55" si="22">Z52*60*60*24*365/1000/1000</f>
        <v>1.8789078718493648</v>
      </c>
      <c r="AB52" s="98"/>
      <c r="AC52" s="98"/>
    </row>
    <row r="53" spans="10:29" x14ac:dyDescent="0.25">
      <c r="J53" s="78" t="s">
        <v>16</v>
      </c>
      <c r="K53" s="79" t="s">
        <v>16</v>
      </c>
      <c r="L53" s="99">
        <v>250</v>
      </c>
      <c r="M53" s="81">
        <v>122.5</v>
      </c>
      <c r="N53" s="73">
        <v>0.35445601851851855</v>
      </c>
      <c r="O53" s="83">
        <v>0.5196918224990601</v>
      </c>
      <c r="P53" s="19">
        <f t="shared" si="21"/>
        <v>11.178125000000001</v>
      </c>
      <c r="Q53" s="83">
        <f>O53*60*60*24*365/1000/1000</f>
        <v>16.389001314330358</v>
      </c>
      <c r="R53" s="83">
        <v>250</v>
      </c>
      <c r="S53" s="83"/>
      <c r="T53" s="84">
        <v>339</v>
      </c>
      <c r="U53" s="83">
        <v>0.62544883593418232</v>
      </c>
      <c r="V53" s="83">
        <f>U53*60*60*24*365/1000/1000</f>
        <v>19.724154490020371</v>
      </c>
      <c r="W53" s="83">
        <f t="shared" ref="W53" si="23">SUM(T53:T57)</f>
        <v>477</v>
      </c>
      <c r="X53" s="83">
        <f>SUM(V53:V57)</f>
        <v>27.180206201490797</v>
      </c>
      <c r="Y53" s="84">
        <v>489</v>
      </c>
      <c r="Z53" s="84">
        <v>0.92060827395043998</v>
      </c>
      <c r="AA53" s="85">
        <f t="shared" si="22"/>
        <v>29.032302527301066</v>
      </c>
      <c r="AB53" s="83">
        <f t="shared" ref="AB53" si="24">SUM(Y53:Y57)</f>
        <v>697</v>
      </c>
      <c r="AC53" s="83">
        <f>SUM(AA53:AA57)</f>
        <v>39.991704483267263</v>
      </c>
    </row>
    <row r="54" spans="10:29" x14ac:dyDescent="0.25">
      <c r="J54" s="66"/>
      <c r="K54" s="79" t="s">
        <v>72</v>
      </c>
      <c r="L54" s="99"/>
      <c r="M54" s="81"/>
      <c r="N54" s="73"/>
      <c r="O54" s="19"/>
      <c r="P54" s="19"/>
      <c r="Q54" s="19"/>
      <c r="R54" s="83"/>
      <c r="S54" s="100"/>
      <c r="T54" s="84">
        <v>72</v>
      </c>
      <c r="U54" s="83">
        <v>0.10208333333333333</v>
      </c>
      <c r="V54" s="83">
        <f>U54*60*60*24*365/1000/1000</f>
        <v>3.2193000000000001</v>
      </c>
      <c r="W54" s="83"/>
      <c r="X54" s="83"/>
      <c r="Y54" s="84">
        <v>92</v>
      </c>
      <c r="Z54" s="84">
        <v>0.13310185185185186</v>
      </c>
      <c r="AA54" s="85">
        <f t="shared" si="22"/>
        <v>4.1974999999999998</v>
      </c>
      <c r="AB54" s="83"/>
      <c r="AC54" s="83"/>
    </row>
    <row r="55" spans="10:29" x14ac:dyDescent="0.25">
      <c r="J55" s="66"/>
      <c r="K55" s="79" t="s">
        <v>73</v>
      </c>
      <c r="L55" s="101"/>
      <c r="M55" s="90"/>
      <c r="N55" s="82"/>
      <c r="O55" s="20"/>
      <c r="P55" s="20"/>
      <c r="Q55" s="20"/>
      <c r="R55" s="100"/>
      <c r="S55" s="63"/>
      <c r="T55" s="97">
        <v>66</v>
      </c>
      <c r="U55" s="74">
        <v>9.357638888888889E-2</v>
      </c>
      <c r="V55" s="100">
        <f>U55*60*60*24*365/1000/1000</f>
        <v>2.951025</v>
      </c>
      <c r="W55" s="100"/>
      <c r="X55" s="100"/>
      <c r="Y55" s="97">
        <v>116</v>
      </c>
      <c r="Z55" s="97">
        <v>0.16782407407407407</v>
      </c>
      <c r="AA55" s="76">
        <f t="shared" si="22"/>
        <v>5.2925000000000004</v>
      </c>
      <c r="AB55" s="100"/>
      <c r="AC55" s="100"/>
    </row>
    <row r="56" spans="10:29" x14ac:dyDescent="0.25">
      <c r="J56" s="66"/>
      <c r="K56" s="67" t="s">
        <v>65</v>
      </c>
      <c r="L56" s="63"/>
      <c r="M56" s="63"/>
      <c r="N56" s="63"/>
      <c r="O56" s="63"/>
      <c r="P56" s="63"/>
      <c r="Q56" s="63"/>
      <c r="R56" s="63"/>
      <c r="S56" s="98"/>
      <c r="T56" s="63"/>
      <c r="U56" s="63"/>
      <c r="V56" s="63"/>
      <c r="W56" s="63"/>
      <c r="X56" s="63"/>
      <c r="Y56" s="63"/>
      <c r="Z56" s="63"/>
      <c r="AA56" s="69"/>
      <c r="AB56" s="63"/>
      <c r="AC56" s="63"/>
    </row>
    <row r="57" spans="10:29" x14ac:dyDescent="0.25">
      <c r="J57" s="77"/>
      <c r="K57" s="70" t="s">
        <v>74</v>
      </c>
      <c r="L57" s="71"/>
      <c r="M57" s="72"/>
      <c r="N57" s="73">
        <v>2.9838914256722478E-2</v>
      </c>
      <c r="O57" s="83">
        <v>3.8828691970187477E-2</v>
      </c>
      <c r="P57" s="19">
        <f t="shared" ref="P57" si="25">N57*60*60*24*365/1000/1000</f>
        <v>0.94100000000000006</v>
      </c>
      <c r="Q57" s="83">
        <f>O57*60*60*24*365/1000/1000</f>
        <v>1.2245016299718323</v>
      </c>
      <c r="R57" s="98"/>
      <c r="S57" s="83">
        <f>SUM(Q58:Q59)</f>
        <v>0</v>
      </c>
      <c r="T57" s="75"/>
      <c r="U57" s="83">
        <v>4.0770126568696857E-2</v>
      </c>
      <c r="V57" s="83">
        <f>U57*60*60*24*365/1000/1000</f>
        <v>1.2857267114704243</v>
      </c>
      <c r="W57" s="98"/>
      <c r="X57" s="98"/>
      <c r="Y57" s="75"/>
      <c r="Z57" s="75">
        <v>4.6594430364224969E-2</v>
      </c>
      <c r="AA57" s="85">
        <f t="shared" ref="AA57:AA61" si="26">Z57*60*60*24*365/1000/1000</f>
        <v>1.4694019559661988</v>
      </c>
      <c r="AB57" s="98"/>
      <c r="AC57" s="98"/>
    </row>
    <row r="58" spans="10:29" x14ac:dyDescent="0.25">
      <c r="J58" s="78" t="s">
        <v>17</v>
      </c>
      <c r="K58" s="79" t="s">
        <v>17</v>
      </c>
      <c r="L58" s="102" t="s">
        <v>75</v>
      </c>
      <c r="M58" s="103"/>
      <c r="N58" s="103"/>
      <c r="O58" s="103"/>
      <c r="P58" s="103"/>
      <c r="Q58" s="103"/>
      <c r="R58" s="83">
        <v>0</v>
      </c>
      <c r="S58" s="83"/>
      <c r="T58" s="84">
        <v>350</v>
      </c>
      <c r="U58" s="83">
        <v>0.47657952069716769</v>
      </c>
      <c r="V58" s="83">
        <f>U58*60*60*24*365/1000/1000</f>
        <v>15.029411764705879</v>
      </c>
      <c r="W58" s="83">
        <f>SUM(T58:T59)</f>
        <v>400</v>
      </c>
      <c r="X58" s="83">
        <f>SUM(V58:V59)</f>
        <v>17.17647058823529</v>
      </c>
      <c r="Y58" s="84">
        <v>440</v>
      </c>
      <c r="Z58" s="84">
        <v>0.59912854030501084</v>
      </c>
      <c r="AA58" s="85">
        <f t="shared" si="26"/>
        <v>18.894117647058824</v>
      </c>
      <c r="AB58" s="83">
        <f>SUM(Y58:Y59)</f>
        <v>500</v>
      </c>
      <c r="AC58" s="83">
        <f>SUM(AA58:AA59)</f>
        <v>21.47058823529412</v>
      </c>
    </row>
    <row r="59" spans="10:29" ht="15.75" thickBot="1" x14ac:dyDescent="0.3">
      <c r="J59" s="77"/>
      <c r="K59" s="79" t="s">
        <v>76</v>
      </c>
      <c r="L59" s="104"/>
      <c r="M59" s="105"/>
      <c r="N59" s="105"/>
      <c r="O59" s="105"/>
      <c r="P59" s="105"/>
      <c r="Q59" s="105"/>
      <c r="R59" s="83"/>
      <c r="S59" s="106">
        <f>Q60</f>
        <v>0</v>
      </c>
      <c r="T59" s="84">
        <v>50</v>
      </c>
      <c r="U59" s="83">
        <v>6.8082788671023964E-2</v>
      </c>
      <c r="V59" s="83">
        <f>U59*60*60*24*365/1000/1000</f>
        <v>2.1470588235294117</v>
      </c>
      <c r="W59" s="83"/>
      <c r="X59" s="83"/>
      <c r="Y59" s="84">
        <v>60</v>
      </c>
      <c r="Z59" s="84">
        <v>8.1699346405228759E-2</v>
      </c>
      <c r="AA59" s="85">
        <f t="shared" si="26"/>
        <v>2.5764705882352943</v>
      </c>
      <c r="AB59" s="83"/>
      <c r="AC59" s="83"/>
    </row>
    <row r="60" spans="10:29" ht="15.75" thickBot="1" x14ac:dyDescent="0.3">
      <c r="J60" s="107" t="s">
        <v>21</v>
      </c>
      <c r="K60" s="108" t="s">
        <v>21</v>
      </c>
      <c r="L60" s="109" t="s">
        <v>75</v>
      </c>
      <c r="M60" s="110"/>
      <c r="N60" s="110"/>
      <c r="O60" s="110"/>
      <c r="P60" s="110"/>
      <c r="Q60" s="110"/>
      <c r="R60" s="106" t="s">
        <v>75</v>
      </c>
      <c r="S60" s="54">
        <f>SUM(Q61:Q64)</f>
        <v>602.13692263164228</v>
      </c>
      <c r="T60" s="111">
        <v>150</v>
      </c>
      <c r="U60" s="106">
        <v>0.20424836601307189</v>
      </c>
      <c r="V60" s="106">
        <f>U60*60*60*24*365/1000/1000</f>
        <v>6.4411764705882355</v>
      </c>
      <c r="W60" s="106">
        <f>T60</f>
        <v>150</v>
      </c>
      <c r="X60" s="106">
        <f>V60</f>
        <v>6.4411764705882355</v>
      </c>
      <c r="Y60" s="111">
        <v>200</v>
      </c>
      <c r="Z60" s="111">
        <v>0.27233115468409586</v>
      </c>
      <c r="AA60" s="112">
        <f t="shared" si="26"/>
        <v>8.5882352941176467</v>
      </c>
      <c r="AB60" s="106">
        <f>Y60</f>
        <v>200</v>
      </c>
      <c r="AC60" s="106">
        <f>AA60</f>
        <v>8.5882352941176467</v>
      </c>
    </row>
    <row r="61" spans="10:29" ht="15.75" thickBot="1" x14ac:dyDescent="0.3">
      <c r="J61" s="113" t="s">
        <v>26</v>
      </c>
      <c r="K61" s="114"/>
      <c r="L61" s="115">
        <f t="shared" ref="L61" si="27">SUM(L40:L60)</f>
        <v>11220</v>
      </c>
      <c r="M61" s="115"/>
      <c r="N61" s="116">
        <f t="shared" ref="N61" si="28">SUM(N40:N60)</f>
        <v>15.563435518137998</v>
      </c>
      <c r="O61" s="117">
        <f>SUM(O40:O60)</f>
        <v>19.093636562393527</v>
      </c>
      <c r="P61" s="118">
        <f t="shared" ref="P61" si="29">N61*60*60*24*365/1000/1000</f>
        <v>490.80850249999992</v>
      </c>
      <c r="Q61" s="117">
        <f>O61*60*60*24*365/1000/1000</f>
        <v>602.13692263164228</v>
      </c>
      <c r="R61" s="54">
        <v>11220</v>
      </c>
      <c r="S61" s="27"/>
      <c r="T61" s="119">
        <f>SUM(T40:T60)</f>
        <v>14861</v>
      </c>
      <c r="U61" s="117">
        <f>SUM(U40:U60)</f>
        <v>24.777324701663126</v>
      </c>
      <c r="V61" s="117">
        <f>U61*60*60*24*365/1000/1000</f>
        <v>781.37771179164815</v>
      </c>
      <c r="W61" s="117">
        <f t="shared" ref="W61" si="30">SUM(W40:W60)</f>
        <v>14861</v>
      </c>
      <c r="X61" s="117">
        <f>SUM(X40:X60)</f>
        <v>781.37771179164849</v>
      </c>
      <c r="Y61" s="119">
        <f t="shared" ref="Y61" si="31">SUM(Y40:Y60)</f>
        <v>20081</v>
      </c>
      <c r="Z61" s="119">
        <f>SUM(Z40:Z60)</f>
        <v>34.031213200044576</v>
      </c>
      <c r="AA61" s="120">
        <f t="shared" si="26"/>
        <v>1073.2083394766057</v>
      </c>
      <c r="AB61" s="117">
        <f t="shared" ref="AB61" si="32">SUM(AB40:AB60)</f>
        <v>20081</v>
      </c>
      <c r="AC61" s="117">
        <f>SUM(AC40:AC60)</f>
        <v>1073.2083394766055</v>
      </c>
    </row>
    <row r="62" spans="10:29" ht="15.75" thickBot="1" x14ac:dyDescent="0.3">
      <c r="P62" s="27"/>
      <c r="Q62" s="27"/>
      <c r="R62" s="27"/>
      <c r="S62" s="40"/>
    </row>
    <row r="63" spans="10:29" ht="26.25" thickBot="1" x14ac:dyDescent="0.3">
      <c r="J63" s="41" t="s">
        <v>53</v>
      </c>
      <c r="K63" s="42" t="s">
        <v>54</v>
      </c>
      <c r="L63" s="43" t="s">
        <v>55</v>
      </c>
      <c r="M63" s="40"/>
      <c r="N63" s="40"/>
      <c r="O63" s="40"/>
      <c r="P63" s="40"/>
      <c r="Q63" s="40"/>
      <c r="R63" s="40"/>
      <c r="S63" s="44"/>
      <c r="T63" s="43">
        <v>2025</v>
      </c>
      <c r="U63" s="40"/>
      <c r="V63" s="40"/>
      <c r="W63" s="40"/>
      <c r="X63" s="40"/>
      <c r="Y63" s="43">
        <v>2040</v>
      </c>
      <c r="Z63" s="40"/>
      <c r="AA63" s="45"/>
      <c r="AB63" s="40"/>
      <c r="AC63" s="40"/>
    </row>
    <row r="64" spans="10:29" ht="17.25" thickBot="1" x14ac:dyDescent="0.3">
      <c r="J64" s="41"/>
      <c r="K64" s="42" t="s">
        <v>77</v>
      </c>
      <c r="L64" s="46" t="s">
        <v>57</v>
      </c>
      <c r="M64" s="47" t="s">
        <v>58</v>
      </c>
      <c r="N64" s="44" t="s">
        <v>59</v>
      </c>
      <c r="O64" s="44" t="s">
        <v>60</v>
      </c>
      <c r="P64" s="44" t="s">
        <v>61</v>
      </c>
      <c r="Q64" s="44" t="s">
        <v>62</v>
      </c>
      <c r="R64" s="44"/>
      <c r="S64" s="48"/>
      <c r="T64" s="47" t="s">
        <v>57</v>
      </c>
      <c r="U64" s="44" t="s">
        <v>60</v>
      </c>
      <c r="V64" s="44" t="s">
        <v>62</v>
      </c>
      <c r="W64" s="44"/>
      <c r="X64" s="44"/>
      <c r="Y64" s="47" t="s">
        <v>57</v>
      </c>
      <c r="Z64" s="44" t="s">
        <v>60</v>
      </c>
      <c r="AA64" s="49" t="s">
        <v>62</v>
      </c>
      <c r="AB64" s="44"/>
      <c r="AC64" s="44"/>
    </row>
    <row r="65" spans="10:29" ht="16.5" thickTop="1" thickBot="1" x14ac:dyDescent="0.3">
      <c r="J65" s="50"/>
      <c r="K65" s="51"/>
      <c r="L65" s="52" t="s">
        <v>36</v>
      </c>
      <c r="M65" s="53" t="s">
        <v>63</v>
      </c>
      <c r="N65" s="48" t="s">
        <v>64</v>
      </c>
      <c r="O65" s="48" t="s">
        <v>64</v>
      </c>
      <c r="P65" s="48" t="s">
        <v>37</v>
      </c>
      <c r="Q65" s="48" t="s">
        <v>37</v>
      </c>
      <c r="R65" s="48"/>
      <c r="S65" s="121">
        <f>SUM(Q66:Q68)</f>
        <v>35.664210887888494</v>
      </c>
      <c r="T65" s="55" t="s">
        <v>36</v>
      </c>
      <c r="U65" s="48" t="s">
        <v>64</v>
      </c>
      <c r="V65" s="48" t="s">
        <v>37</v>
      </c>
      <c r="W65" s="48"/>
      <c r="X65" s="48"/>
      <c r="Y65" s="55" t="s">
        <v>36</v>
      </c>
      <c r="Z65" s="48" t="s">
        <v>64</v>
      </c>
      <c r="AA65" s="56" t="s">
        <v>37</v>
      </c>
      <c r="AB65" s="48"/>
      <c r="AC65" s="48"/>
    </row>
    <row r="66" spans="10:29" ht="15.75" thickTop="1" x14ac:dyDescent="0.25">
      <c r="J66" s="122" t="s">
        <v>10</v>
      </c>
      <c r="K66" s="123" t="s">
        <v>10</v>
      </c>
      <c r="L66" s="124">
        <v>700</v>
      </c>
      <c r="M66" s="125">
        <v>113.2</v>
      </c>
      <c r="N66" s="126">
        <v>0.91712962962962963</v>
      </c>
      <c r="O66" s="121">
        <v>1.1309047085200563</v>
      </c>
      <c r="P66" s="121">
        <f t="shared" ref="P66" si="33">N66*60*60*24*365/1000/1000</f>
        <v>28.922599999999999</v>
      </c>
      <c r="Q66" s="121">
        <f>O66*60*60*24*365/1000/1000</f>
        <v>35.664210887888494</v>
      </c>
      <c r="R66" s="121">
        <v>700</v>
      </c>
      <c r="S66" s="19"/>
      <c r="T66" s="127">
        <v>1100</v>
      </c>
      <c r="U66" s="121">
        <v>1.713634646059242</v>
      </c>
      <c r="V66" s="121">
        <f>U66*60*60*24*365/1000/1000</f>
        <v>54.041182198124261</v>
      </c>
      <c r="W66" s="121">
        <f t="shared" ref="W66" si="34">SUM(T66:T68)</f>
        <v>1319</v>
      </c>
      <c r="X66" s="121">
        <f>SUM(V66:V68)</f>
        <v>63.981334551065437</v>
      </c>
      <c r="Y66" s="127">
        <v>2500</v>
      </c>
      <c r="Z66" s="121">
        <v>3.96</v>
      </c>
      <c r="AA66" s="128">
        <f>Z66*60*60*24*365/1000/1000</f>
        <v>124.88256</v>
      </c>
      <c r="AB66" s="121">
        <f t="shared" ref="AB66" si="35">SUM(Y66:Y68)</f>
        <v>2719</v>
      </c>
      <c r="AC66" s="121">
        <f>SUM(AA66:AA68)</f>
        <v>134.28667764705881</v>
      </c>
    </row>
    <row r="67" spans="10:29" x14ac:dyDescent="0.25">
      <c r="J67" s="66"/>
      <c r="K67" s="79" t="s">
        <v>78</v>
      </c>
      <c r="L67" s="80"/>
      <c r="M67" s="81"/>
      <c r="N67" s="73"/>
      <c r="O67" s="19"/>
      <c r="P67" s="19"/>
      <c r="Q67" s="19"/>
      <c r="R67" s="19"/>
      <c r="S67" s="83"/>
      <c r="T67" s="84"/>
      <c r="U67" s="19"/>
      <c r="V67" s="19"/>
      <c r="W67" s="19"/>
      <c r="X67" s="19"/>
      <c r="Y67" s="84"/>
      <c r="Z67" s="19"/>
      <c r="AA67" s="129"/>
      <c r="AB67" s="19"/>
      <c r="AC67" s="19"/>
    </row>
    <row r="68" spans="10:29" x14ac:dyDescent="0.25">
      <c r="J68" s="77"/>
      <c r="K68" s="79" t="s">
        <v>79</v>
      </c>
      <c r="L68" s="130" t="s">
        <v>75</v>
      </c>
      <c r="M68" s="131"/>
      <c r="N68" s="131"/>
      <c r="O68" s="131"/>
      <c r="P68" s="131"/>
      <c r="Q68" s="131"/>
      <c r="R68" s="83"/>
      <c r="S68" s="83">
        <f>SUM(Q69:Q73)</f>
        <v>8.0145411764705887</v>
      </c>
      <c r="T68" s="84">
        <v>219</v>
      </c>
      <c r="U68" s="83">
        <v>0.31520016339869278</v>
      </c>
      <c r="V68" s="83">
        <f t="shared" ref="V68:V78" si="36">U68*60*60*24*365/1000/1000</f>
        <v>9.9401523529411744</v>
      </c>
      <c r="W68" s="83"/>
      <c r="X68" s="83"/>
      <c r="Y68" s="84">
        <v>219</v>
      </c>
      <c r="Z68" s="83">
        <v>0.29820261437908496</v>
      </c>
      <c r="AA68" s="85">
        <f t="shared" ref="AA68:AA78" si="37">Z68*60*60*24*365/1000/1000</f>
        <v>9.4041176470588237</v>
      </c>
      <c r="AB68" s="83"/>
      <c r="AC68" s="83"/>
    </row>
    <row r="69" spans="10:29" x14ac:dyDescent="0.25">
      <c r="J69" s="78" t="s">
        <v>20</v>
      </c>
      <c r="K69" s="79" t="s">
        <v>20</v>
      </c>
      <c r="L69" s="80">
        <v>80</v>
      </c>
      <c r="M69" s="81">
        <v>105.7</v>
      </c>
      <c r="N69" s="73">
        <v>9.7870370370370371E-2</v>
      </c>
      <c r="O69" s="83">
        <v>0.11514161220043573</v>
      </c>
      <c r="P69" s="83">
        <f t="shared" ref="P69:P70" si="38">N69*60*60*24*365/1000/1000</f>
        <v>3.0864400000000001</v>
      </c>
      <c r="Q69" s="83">
        <f>O69*60*60*24*365/1000/1000</f>
        <v>3.6311058823529412</v>
      </c>
      <c r="R69" s="83">
        <v>190</v>
      </c>
      <c r="S69" s="83"/>
      <c r="T69" s="84">
        <v>70</v>
      </c>
      <c r="U69" s="83">
        <v>8.8453159041394336E-2</v>
      </c>
      <c r="V69" s="83">
        <f t="shared" si="36"/>
        <v>2.7894588235294115</v>
      </c>
      <c r="W69" s="83">
        <f t="shared" ref="W69" si="39">SUM(T69:T73)</f>
        <v>330</v>
      </c>
      <c r="X69" s="83">
        <f>SUM(V69:V73)</f>
        <v>14.495696496775711</v>
      </c>
      <c r="Y69" s="84">
        <v>70</v>
      </c>
      <c r="Z69" s="83">
        <v>0.1048474945533769</v>
      </c>
      <c r="AA69" s="85">
        <f t="shared" si="37"/>
        <v>3.3064705882352943</v>
      </c>
      <c r="AB69" s="83">
        <f t="shared" ref="AB69" si="40">SUM(Y69:Y73)</f>
        <v>330</v>
      </c>
      <c r="AC69" s="83">
        <f>SUM(AA69:AA73)</f>
        <v>15.012708261481595</v>
      </c>
    </row>
    <row r="70" spans="10:29" ht="24" x14ac:dyDescent="0.25">
      <c r="J70" s="66"/>
      <c r="K70" s="132" t="s">
        <v>80</v>
      </c>
      <c r="L70" s="80">
        <v>110</v>
      </c>
      <c r="M70" s="81">
        <v>92.8</v>
      </c>
      <c r="N70" s="73">
        <v>0.11814814814814814</v>
      </c>
      <c r="O70" s="83">
        <v>0.13899782135076252</v>
      </c>
      <c r="P70" s="83">
        <f t="shared" si="38"/>
        <v>3.7259199999999999</v>
      </c>
      <c r="Q70" s="83">
        <f>O70*60*60*24*365/1000/1000</f>
        <v>4.383435294117648</v>
      </c>
      <c r="R70" s="83"/>
      <c r="S70" s="83"/>
      <c r="T70" s="84">
        <v>110</v>
      </c>
      <c r="U70" s="83">
        <v>0.16695399551807666</v>
      </c>
      <c r="V70" s="83">
        <f t="shared" si="36"/>
        <v>5.2650612026580648</v>
      </c>
      <c r="W70" s="83"/>
      <c r="X70" s="83"/>
      <c r="Y70" s="133">
        <v>110</v>
      </c>
      <c r="Z70" s="83">
        <v>0.16695399551807666</v>
      </c>
      <c r="AA70" s="85">
        <f t="shared" si="37"/>
        <v>5.2650612026580648</v>
      </c>
      <c r="AB70" s="83"/>
      <c r="AC70" s="83"/>
    </row>
    <row r="71" spans="10:29" x14ac:dyDescent="0.25">
      <c r="J71" s="66"/>
      <c r="K71" s="79" t="s">
        <v>81</v>
      </c>
      <c r="L71" s="102" t="s">
        <v>75</v>
      </c>
      <c r="M71" s="103"/>
      <c r="N71" s="103"/>
      <c r="O71" s="103"/>
      <c r="P71" s="103"/>
      <c r="Q71" s="103"/>
      <c r="R71" s="83"/>
      <c r="S71" s="83"/>
      <c r="T71" s="84">
        <v>90</v>
      </c>
      <c r="U71" s="83">
        <v>0.12254901960784315</v>
      </c>
      <c r="V71" s="83">
        <f t="shared" si="36"/>
        <v>3.8647058823529408</v>
      </c>
      <c r="W71" s="83"/>
      <c r="X71" s="83"/>
      <c r="Y71" s="133">
        <v>90</v>
      </c>
      <c r="Z71" s="83">
        <v>0.12254901960784315</v>
      </c>
      <c r="AA71" s="85">
        <f t="shared" si="37"/>
        <v>3.8647058823529408</v>
      </c>
      <c r="AB71" s="83"/>
      <c r="AC71" s="83"/>
    </row>
    <row r="72" spans="10:29" x14ac:dyDescent="0.25">
      <c r="J72" s="66"/>
      <c r="K72" s="132" t="s">
        <v>82</v>
      </c>
      <c r="L72" s="134"/>
      <c r="M72" s="135"/>
      <c r="N72" s="135"/>
      <c r="O72" s="135"/>
      <c r="P72" s="135"/>
      <c r="Q72" s="135"/>
      <c r="R72" s="83"/>
      <c r="S72" s="83"/>
      <c r="T72" s="84">
        <v>40</v>
      </c>
      <c r="U72" s="83">
        <v>5.4466230936819168E-2</v>
      </c>
      <c r="V72" s="83">
        <f t="shared" si="36"/>
        <v>1.7176470588235295</v>
      </c>
      <c r="W72" s="83"/>
      <c r="X72" s="83"/>
      <c r="Y72" s="133">
        <v>40</v>
      </c>
      <c r="Z72" s="83">
        <v>5.4466230936819168E-2</v>
      </c>
      <c r="AA72" s="85">
        <f t="shared" si="37"/>
        <v>1.7176470588235295</v>
      </c>
      <c r="AB72" s="83"/>
      <c r="AC72" s="83"/>
    </row>
    <row r="73" spans="10:29" x14ac:dyDescent="0.25">
      <c r="J73" s="77"/>
      <c r="K73" s="132" t="s">
        <v>83</v>
      </c>
      <c r="L73" s="104"/>
      <c r="M73" s="105"/>
      <c r="N73" s="105"/>
      <c r="O73" s="105"/>
      <c r="P73" s="105"/>
      <c r="Q73" s="105"/>
      <c r="R73" s="83"/>
      <c r="S73" s="83">
        <f>Q74</f>
        <v>14.600000000000001</v>
      </c>
      <c r="T73" s="84">
        <v>20</v>
      </c>
      <c r="U73" s="83">
        <v>2.7233115468409584E-2</v>
      </c>
      <c r="V73" s="83">
        <f t="shared" si="36"/>
        <v>0.85882352941176476</v>
      </c>
      <c r="W73" s="83"/>
      <c r="X73" s="83"/>
      <c r="Y73" s="133">
        <v>20</v>
      </c>
      <c r="Z73" s="83">
        <v>2.7233115468409584E-2</v>
      </c>
      <c r="AA73" s="85">
        <f t="shared" si="37"/>
        <v>0.85882352941176476</v>
      </c>
      <c r="AB73" s="83"/>
      <c r="AC73" s="83"/>
    </row>
    <row r="74" spans="10:29" x14ac:dyDescent="0.25">
      <c r="J74" s="136" t="s">
        <v>19</v>
      </c>
      <c r="K74" s="79" t="s">
        <v>19</v>
      </c>
      <c r="L74" s="80">
        <v>340</v>
      </c>
      <c r="M74" s="137">
        <v>100</v>
      </c>
      <c r="N74" s="73">
        <v>0.39351851851851855</v>
      </c>
      <c r="O74" s="83">
        <v>0.46296296296296302</v>
      </c>
      <c r="P74" s="83">
        <f t="shared" ref="P74" si="41">N74*60*60*24*365/1000/1000</f>
        <v>12.410000000000002</v>
      </c>
      <c r="Q74" s="83">
        <f>O74*60*60*24*365/1000/1000</f>
        <v>14.600000000000001</v>
      </c>
      <c r="R74" s="83">
        <v>340</v>
      </c>
      <c r="S74" s="83">
        <f>SUM(Q75:Q77)</f>
        <v>0</v>
      </c>
      <c r="T74" s="84">
        <v>370</v>
      </c>
      <c r="U74" s="83">
        <v>0.50381263616557737</v>
      </c>
      <c r="V74" s="83">
        <f t="shared" si="36"/>
        <v>15.888235294117651</v>
      </c>
      <c r="W74" s="83">
        <f t="shared" ref="W74" si="42">T74</f>
        <v>370</v>
      </c>
      <c r="X74" s="83">
        <f>V74</f>
        <v>15.888235294117651</v>
      </c>
      <c r="Y74" s="84">
        <v>470</v>
      </c>
      <c r="Z74" s="83">
        <v>0.63997821350762529</v>
      </c>
      <c r="AA74" s="85">
        <f t="shared" si="37"/>
        <v>20.182352941176472</v>
      </c>
      <c r="AB74" s="83">
        <f t="shared" ref="AB74" si="43">Y74</f>
        <v>470</v>
      </c>
      <c r="AC74" s="83">
        <f>AA74</f>
        <v>20.182352941176472</v>
      </c>
    </row>
    <row r="75" spans="10:29" x14ac:dyDescent="0.25">
      <c r="J75" s="78" t="s">
        <v>21</v>
      </c>
      <c r="K75" s="79" t="s">
        <v>84</v>
      </c>
      <c r="L75" s="134"/>
      <c r="M75" s="135"/>
      <c r="N75" s="135"/>
      <c r="O75" s="135"/>
      <c r="P75" s="135"/>
      <c r="Q75" s="135"/>
      <c r="R75" s="83">
        <v>0</v>
      </c>
      <c r="S75" s="83"/>
      <c r="T75" s="133">
        <v>100</v>
      </c>
      <c r="U75" s="83">
        <v>0.13616557734204793</v>
      </c>
      <c r="V75" s="83">
        <f t="shared" si="36"/>
        <v>4.2941176470588234</v>
      </c>
      <c r="W75" s="83">
        <f t="shared" ref="W75" si="44">SUM(T75:T77)</f>
        <v>310</v>
      </c>
      <c r="X75" s="83">
        <f>SUM(V75:V77)</f>
        <v>13.311764705882354</v>
      </c>
      <c r="Y75" s="133">
        <v>110</v>
      </c>
      <c r="Z75" s="83">
        <v>0.14978213507625271</v>
      </c>
      <c r="AA75" s="85">
        <f t="shared" si="37"/>
        <v>4.723529411764706</v>
      </c>
      <c r="AB75" s="83">
        <f t="shared" ref="AB75" si="45">SUM(Y75:Y77)</f>
        <v>340</v>
      </c>
      <c r="AC75" s="83">
        <f>SUM(AA75:AA77)</f>
        <v>14.600000000000001</v>
      </c>
    </row>
    <row r="76" spans="10:29" x14ac:dyDescent="0.25">
      <c r="J76" s="66"/>
      <c r="K76" s="79" t="s">
        <v>85</v>
      </c>
      <c r="L76" s="134"/>
      <c r="M76" s="135"/>
      <c r="N76" s="135"/>
      <c r="O76" s="135"/>
      <c r="P76" s="135"/>
      <c r="Q76" s="135"/>
      <c r="R76" s="83"/>
      <c r="S76" s="83"/>
      <c r="T76" s="133">
        <v>80</v>
      </c>
      <c r="U76" s="83">
        <v>0.10893246187363834</v>
      </c>
      <c r="V76" s="83">
        <f t="shared" si="36"/>
        <v>3.4352941176470591</v>
      </c>
      <c r="W76" s="83"/>
      <c r="X76" s="83"/>
      <c r="Y76" s="133">
        <v>85</v>
      </c>
      <c r="Z76" s="83">
        <v>0.11574074074074076</v>
      </c>
      <c r="AA76" s="85">
        <f t="shared" si="37"/>
        <v>3.6500000000000004</v>
      </c>
      <c r="AB76" s="83"/>
      <c r="AC76" s="83"/>
    </row>
    <row r="77" spans="10:29" x14ac:dyDescent="0.25">
      <c r="J77" s="77"/>
      <c r="K77" s="79" t="s">
        <v>86</v>
      </c>
      <c r="L77" s="134"/>
      <c r="M77" s="135"/>
      <c r="N77" s="135"/>
      <c r="O77" s="135"/>
      <c r="P77" s="135"/>
      <c r="Q77" s="135"/>
      <c r="R77" s="83"/>
      <c r="S77" s="83">
        <f>SUM(Q78:Q80)</f>
        <v>34.352941176470587</v>
      </c>
      <c r="T77" s="133">
        <v>130</v>
      </c>
      <c r="U77" s="83">
        <v>0.1770152505446623</v>
      </c>
      <c r="V77" s="83">
        <f t="shared" si="36"/>
        <v>5.5823529411764703</v>
      </c>
      <c r="W77" s="83"/>
      <c r="X77" s="83"/>
      <c r="Y77" s="133">
        <v>145</v>
      </c>
      <c r="Z77" s="83">
        <v>0.1974400871459695</v>
      </c>
      <c r="AA77" s="85">
        <f t="shared" si="37"/>
        <v>6.2264705882352942</v>
      </c>
      <c r="AB77" s="83"/>
      <c r="AC77" s="83"/>
    </row>
    <row r="78" spans="10:29" x14ac:dyDescent="0.25">
      <c r="J78" s="78" t="s">
        <v>23</v>
      </c>
      <c r="K78" s="79" t="s">
        <v>23</v>
      </c>
      <c r="L78" s="104"/>
      <c r="M78" s="105"/>
      <c r="N78" s="105"/>
      <c r="O78" s="105"/>
      <c r="P78" s="105"/>
      <c r="Q78" s="105"/>
      <c r="R78" s="83">
        <v>0</v>
      </c>
      <c r="S78" s="63"/>
      <c r="T78" s="84">
        <v>200</v>
      </c>
      <c r="U78" s="83">
        <v>0.27233115468409586</v>
      </c>
      <c r="V78" s="83">
        <f t="shared" si="36"/>
        <v>8.5882352941176467</v>
      </c>
      <c r="W78" s="83">
        <f t="shared" ref="W78" si="46">SUM(T78:T80)</f>
        <v>200</v>
      </c>
      <c r="X78" s="83">
        <f>SUM(V78:V80)</f>
        <v>44.658823529411762</v>
      </c>
      <c r="Y78" s="84">
        <v>600</v>
      </c>
      <c r="Z78" s="83">
        <v>0.81699346405228757</v>
      </c>
      <c r="AA78" s="85">
        <f t="shared" si="37"/>
        <v>25.764705882352942</v>
      </c>
      <c r="AB78" s="83">
        <f t="shared" ref="AB78" si="47">SUM(Y78:Y80)</f>
        <v>600</v>
      </c>
      <c r="AC78" s="83">
        <f>SUM(AA78:AA80)</f>
        <v>66.988235294117658</v>
      </c>
    </row>
    <row r="79" spans="10:29" x14ac:dyDescent="0.25">
      <c r="J79" s="66"/>
      <c r="K79" s="67" t="s">
        <v>65</v>
      </c>
      <c r="L79" s="63"/>
      <c r="M79" s="63"/>
      <c r="N79" s="63"/>
      <c r="O79" s="63"/>
      <c r="P79" s="63"/>
      <c r="Q79" s="63"/>
      <c r="R79" s="63"/>
      <c r="S79" s="98"/>
      <c r="T79" s="63"/>
      <c r="U79" s="63"/>
      <c r="V79" s="63"/>
      <c r="W79" s="63"/>
      <c r="X79" s="63"/>
      <c r="Y79" s="63"/>
      <c r="Z79" s="63"/>
      <c r="AA79" s="69"/>
      <c r="AB79" s="63"/>
      <c r="AC79" s="63"/>
    </row>
    <row r="80" spans="10:29" x14ac:dyDescent="0.25">
      <c r="J80" s="77"/>
      <c r="K80" s="70" t="s">
        <v>87</v>
      </c>
      <c r="L80" s="71"/>
      <c r="M80" s="72"/>
      <c r="N80" s="73">
        <v>0.92592592592592593</v>
      </c>
      <c r="O80" s="83">
        <v>1.0893246187363834</v>
      </c>
      <c r="P80" s="83">
        <f t="shared" ref="P80" si="48">N80*60*60*24*365/1000/1000</f>
        <v>29.2</v>
      </c>
      <c r="Q80" s="83">
        <f>O80*60*60*24*365/1000/1000</f>
        <v>34.352941176470587</v>
      </c>
      <c r="R80" s="98"/>
      <c r="S80" s="83">
        <f>Q81+Q82</f>
        <v>0</v>
      </c>
      <c r="T80" s="75"/>
      <c r="U80" s="83">
        <v>1.1437908496732028</v>
      </c>
      <c r="V80" s="83">
        <f t="shared" ref="V80:V87" si="49">U80*60*60*24*365/1000/1000</f>
        <v>36.070588235294117</v>
      </c>
      <c r="W80" s="98"/>
      <c r="X80" s="98"/>
      <c r="Y80" s="75"/>
      <c r="Z80" s="83">
        <v>1.3071895424836601</v>
      </c>
      <c r="AA80" s="85">
        <f t="shared" ref="AA80:AA87" si="50">Z80*60*60*24*365/1000/1000</f>
        <v>41.223529411764709</v>
      </c>
      <c r="AB80" s="98"/>
      <c r="AC80" s="98"/>
    </row>
    <row r="81" spans="10:29" x14ac:dyDescent="0.25">
      <c r="J81" s="78" t="s">
        <v>22</v>
      </c>
      <c r="K81" s="79" t="s">
        <v>22</v>
      </c>
      <c r="L81" s="134"/>
      <c r="M81" s="135"/>
      <c r="N81" s="135"/>
      <c r="O81" s="135"/>
      <c r="P81" s="135"/>
      <c r="Q81" s="135"/>
      <c r="R81" s="83">
        <v>0</v>
      </c>
      <c r="S81" s="83"/>
      <c r="T81" s="84">
        <v>160</v>
      </c>
      <c r="U81" s="83">
        <v>0.21786492374727667</v>
      </c>
      <c r="V81" s="83">
        <f t="shared" si="49"/>
        <v>6.8705882352941181</v>
      </c>
      <c r="W81" s="83">
        <f t="shared" ref="W81" si="51">T81+T82</f>
        <v>240</v>
      </c>
      <c r="X81" s="83">
        <f>V81+V82</f>
        <v>10.305882352941177</v>
      </c>
      <c r="Y81" s="84">
        <v>260</v>
      </c>
      <c r="Z81" s="83">
        <v>0.3540305010893246</v>
      </c>
      <c r="AA81" s="85">
        <f t="shared" si="50"/>
        <v>11.164705882352941</v>
      </c>
      <c r="AB81" s="83">
        <f t="shared" ref="AB81" si="52">Y81+Y82</f>
        <v>380</v>
      </c>
      <c r="AC81" s="83">
        <f>AA81+AA82</f>
        <v>16.317647058823528</v>
      </c>
    </row>
    <row r="82" spans="10:29" x14ac:dyDescent="0.25">
      <c r="J82" s="77"/>
      <c r="K82" s="79" t="s">
        <v>88</v>
      </c>
      <c r="L82" s="104"/>
      <c r="M82" s="105"/>
      <c r="N82" s="105"/>
      <c r="O82" s="105"/>
      <c r="P82" s="105"/>
      <c r="Q82" s="105"/>
      <c r="R82" s="83"/>
      <c r="S82" s="83">
        <f>Q83+Q84</f>
        <v>0</v>
      </c>
      <c r="T82" s="84">
        <v>80</v>
      </c>
      <c r="U82" s="83">
        <v>0.10893246187363834</v>
      </c>
      <c r="V82" s="83">
        <f t="shared" si="49"/>
        <v>3.4352941176470591</v>
      </c>
      <c r="W82" s="83"/>
      <c r="X82" s="83"/>
      <c r="Y82" s="84">
        <v>120</v>
      </c>
      <c r="Z82" s="83">
        <v>0.16339869281045752</v>
      </c>
      <c r="AA82" s="85">
        <f t="shared" si="50"/>
        <v>5.1529411764705886</v>
      </c>
      <c r="AB82" s="83"/>
      <c r="AC82" s="83"/>
    </row>
    <row r="83" spans="10:29" ht="15.75" thickBot="1" x14ac:dyDescent="0.3">
      <c r="J83" s="78" t="s">
        <v>25</v>
      </c>
      <c r="K83" s="79" t="s">
        <v>25</v>
      </c>
      <c r="L83" s="102" t="s">
        <v>75</v>
      </c>
      <c r="M83" s="103"/>
      <c r="N83" s="103"/>
      <c r="O83" s="103"/>
      <c r="P83" s="103"/>
      <c r="Q83" s="103"/>
      <c r="R83" s="83">
        <v>0</v>
      </c>
      <c r="S83" s="106"/>
      <c r="T83" s="84">
        <v>73</v>
      </c>
      <c r="U83" s="83">
        <v>9.9400871459694992E-2</v>
      </c>
      <c r="V83" s="83">
        <f t="shared" si="49"/>
        <v>3.1347058823529408</v>
      </c>
      <c r="W83" s="83">
        <f t="shared" ref="W83" si="53">T83+T84</f>
        <v>128</v>
      </c>
      <c r="X83" s="83">
        <f>V83+V84</f>
        <v>5.4964705882352938</v>
      </c>
      <c r="Y83" s="84">
        <v>73</v>
      </c>
      <c r="Z83" s="83">
        <v>9.9400871459694992E-2</v>
      </c>
      <c r="AA83" s="85">
        <f t="shared" si="50"/>
        <v>3.1347058823529408</v>
      </c>
      <c r="AB83" s="83">
        <f t="shared" ref="AB83" si="54">Y83+Y84</f>
        <v>128</v>
      </c>
      <c r="AC83" s="83">
        <f>AA83+AA84</f>
        <v>5.4964705882352938</v>
      </c>
    </row>
    <row r="84" spans="10:29" x14ac:dyDescent="0.25">
      <c r="J84" s="66"/>
      <c r="K84" s="185" t="s">
        <v>89</v>
      </c>
      <c r="L84" s="134"/>
      <c r="M84" s="135"/>
      <c r="N84" s="135"/>
      <c r="O84" s="135"/>
      <c r="P84" s="135"/>
      <c r="Q84" s="135"/>
      <c r="R84" s="167"/>
      <c r="S84" s="186">
        <f>SUM(S65:S83)</f>
        <v>92.631693240829662</v>
      </c>
      <c r="T84" s="171">
        <v>55</v>
      </c>
      <c r="U84" s="167">
        <v>7.4891067538126355E-2</v>
      </c>
      <c r="V84" s="167">
        <f t="shared" si="49"/>
        <v>2.361764705882353</v>
      </c>
      <c r="W84" s="167"/>
      <c r="X84" s="167"/>
      <c r="Y84" s="171">
        <v>55</v>
      </c>
      <c r="Z84" s="167">
        <v>7.4891067538126355E-2</v>
      </c>
      <c r="AA84" s="172">
        <f t="shared" si="50"/>
        <v>2.361764705882353</v>
      </c>
      <c r="AB84" s="167"/>
      <c r="AC84" s="167"/>
    </row>
    <row r="85" spans="10:29" x14ac:dyDescent="0.25">
      <c r="J85" s="136" t="s">
        <v>95</v>
      </c>
      <c r="K85" s="28" t="s">
        <v>95</v>
      </c>
      <c r="L85" s="260" t="s">
        <v>97</v>
      </c>
      <c r="M85" s="260"/>
      <c r="N85" s="260"/>
      <c r="O85" s="260"/>
      <c r="P85" s="260"/>
      <c r="Q85" s="260"/>
      <c r="R85" s="83"/>
      <c r="S85" s="187"/>
      <c r="T85" s="84">
        <v>200</v>
      </c>
      <c r="U85" s="83">
        <f>(T85*120)/24/3600</f>
        <v>0.27777777777777779</v>
      </c>
      <c r="V85" s="167">
        <f t="shared" si="49"/>
        <v>8.7600000000000016</v>
      </c>
      <c r="W85" s="83">
        <f>T85</f>
        <v>200</v>
      </c>
      <c r="X85" s="83">
        <f>V85</f>
        <v>8.7600000000000016</v>
      </c>
      <c r="Y85" s="84">
        <v>400</v>
      </c>
      <c r="Z85" s="83">
        <f>(Y85*120)/24/3600</f>
        <v>0.55555555555555558</v>
      </c>
      <c r="AA85" s="194">
        <f t="shared" si="50"/>
        <v>17.520000000000003</v>
      </c>
      <c r="AB85" s="195">
        <f>Y85</f>
        <v>400</v>
      </c>
      <c r="AC85" s="83">
        <f>AA85</f>
        <v>17.520000000000003</v>
      </c>
    </row>
    <row r="86" spans="10:29" x14ac:dyDescent="0.25">
      <c r="J86" s="78" t="s">
        <v>94</v>
      </c>
      <c r="K86" s="28" t="s">
        <v>94</v>
      </c>
      <c r="L86" s="260"/>
      <c r="M86" s="260"/>
      <c r="N86" s="260"/>
      <c r="O86" s="260"/>
      <c r="P86" s="260"/>
      <c r="Q86" s="260"/>
      <c r="R86" s="83"/>
      <c r="S86" s="187"/>
      <c r="T86" s="84">
        <v>350</v>
      </c>
      <c r="U86" s="83">
        <f t="shared" ref="U86:U87" si="55">(T86*120)/24/3600</f>
        <v>0.4861111111111111</v>
      </c>
      <c r="V86" s="167">
        <f t="shared" si="49"/>
        <v>15.33</v>
      </c>
      <c r="W86" s="83">
        <f>T86+T87</f>
        <v>440</v>
      </c>
      <c r="X86" s="83">
        <f>V86+V87</f>
        <v>19.271999999999998</v>
      </c>
      <c r="Y86" s="84">
        <v>400</v>
      </c>
      <c r="Z86" s="83">
        <f t="shared" ref="Z86:Z87" si="56">(Y86*120)/24/3600</f>
        <v>0.55555555555555558</v>
      </c>
      <c r="AA86" s="194">
        <f t="shared" si="50"/>
        <v>17.520000000000003</v>
      </c>
      <c r="AB86" s="195">
        <f>Y86+Y87</f>
        <v>500</v>
      </c>
      <c r="AC86" s="83">
        <f>AA86+AA87</f>
        <v>21.900000000000006</v>
      </c>
    </row>
    <row r="87" spans="10:29" ht="15.75" thickBot="1" x14ac:dyDescent="0.3">
      <c r="J87" s="138"/>
      <c r="K87" s="185" t="s">
        <v>96</v>
      </c>
      <c r="L87" s="261"/>
      <c r="M87" s="261"/>
      <c r="N87" s="261"/>
      <c r="O87" s="261"/>
      <c r="P87" s="261"/>
      <c r="Q87" s="261"/>
      <c r="R87" s="167"/>
      <c r="S87" s="188"/>
      <c r="T87" s="171">
        <v>90</v>
      </c>
      <c r="U87" s="167">
        <f t="shared" si="55"/>
        <v>0.125</v>
      </c>
      <c r="V87" s="167">
        <f t="shared" si="49"/>
        <v>3.9420000000000002</v>
      </c>
      <c r="W87" s="167"/>
      <c r="X87" s="167"/>
      <c r="Y87" s="171">
        <v>100</v>
      </c>
      <c r="Z87" s="167">
        <f t="shared" si="56"/>
        <v>0.1388888888888889</v>
      </c>
      <c r="AA87" s="194">
        <f t="shared" si="50"/>
        <v>4.3800000000000008</v>
      </c>
      <c r="AB87" s="196"/>
      <c r="AC87" s="167"/>
    </row>
    <row r="88" spans="10:29" ht="15.75" thickBot="1" x14ac:dyDescent="0.3">
      <c r="J88" s="189" t="s">
        <v>26</v>
      </c>
      <c r="K88" s="190"/>
      <c r="L88" s="191">
        <f t="shared" ref="L88" si="57">SUM(L66:L84)</f>
        <v>1230</v>
      </c>
      <c r="M88" s="191"/>
      <c r="N88" s="192">
        <f t="shared" ref="N88" si="58">SUM(N66:N84)</f>
        <v>2.4525925925925924</v>
      </c>
      <c r="O88" s="170">
        <f>SUM(O66:O84)</f>
        <v>2.9373317237706011</v>
      </c>
      <c r="P88" s="170">
        <f t="shared" ref="P88" si="59">N88*60*60*24*365/1000/1000</f>
        <v>77.344959999999986</v>
      </c>
      <c r="Q88" s="170">
        <f>O88*60*60*24*365/1000/1000</f>
        <v>92.631693240829676</v>
      </c>
      <c r="R88" s="170">
        <f>SUM(R66:R87)</f>
        <v>1230</v>
      </c>
      <c r="S88" s="193"/>
      <c r="T88" s="139">
        <f t="shared" ref="T88:AC88" si="60">SUM(T66:T87)</f>
        <v>3537</v>
      </c>
      <c r="U88" s="170">
        <f t="shared" si="60"/>
        <v>6.220516473821327</v>
      </c>
      <c r="V88" s="170">
        <f t="shared" si="60"/>
        <v>196.17020751842941</v>
      </c>
      <c r="W88" s="170">
        <f t="shared" si="60"/>
        <v>3537</v>
      </c>
      <c r="X88" s="170">
        <f t="shared" si="60"/>
        <v>196.17020751842938</v>
      </c>
      <c r="Y88" s="139">
        <f t="shared" si="60"/>
        <v>5867</v>
      </c>
      <c r="Z88" s="170">
        <f t="shared" si="60"/>
        <v>9.9030977863677503</v>
      </c>
      <c r="AA88" s="178">
        <f t="shared" si="60"/>
        <v>312.30409179089327</v>
      </c>
      <c r="AB88" s="170">
        <f t="shared" si="60"/>
        <v>5867</v>
      </c>
      <c r="AC88" s="178">
        <f t="shared" si="60"/>
        <v>312.30409179089338</v>
      </c>
    </row>
    <row r="89" spans="10:29" ht="15.75" thickBot="1" x14ac:dyDescent="0.3">
      <c r="P89" s="27"/>
      <c r="Q89" s="27"/>
      <c r="R89" s="27"/>
      <c r="S89" s="140"/>
    </row>
    <row r="90" spans="10:29" ht="26.25" thickBot="1" x14ac:dyDescent="0.3">
      <c r="J90" s="41" t="s">
        <v>53</v>
      </c>
      <c r="K90" s="141" t="s">
        <v>54</v>
      </c>
      <c r="L90" s="142" t="s">
        <v>55</v>
      </c>
      <c r="M90" s="140"/>
      <c r="N90" s="140"/>
      <c r="O90" s="140"/>
      <c r="P90" s="140"/>
      <c r="Q90" s="140"/>
      <c r="R90" s="140"/>
      <c r="S90" s="143"/>
      <c r="T90" s="144">
        <v>2025</v>
      </c>
      <c r="U90" s="140"/>
      <c r="V90" s="140"/>
      <c r="W90" s="140"/>
      <c r="X90" s="140"/>
      <c r="Y90" s="144">
        <v>2040</v>
      </c>
      <c r="Z90" s="140"/>
      <c r="AA90" s="145"/>
      <c r="AB90" s="140"/>
      <c r="AC90" s="140"/>
    </row>
    <row r="91" spans="10:29" ht="16.5" x14ac:dyDescent="0.25">
      <c r="J91" s="50"/>
      <c r="K91" s="146" t="s">
        <v>90</v>
      </c>
      <c r="L91" s="147" t="s">
        <v>57</v>
      </c>
      <c r="M91" s="148" t="s">
        <v>58</v>
      </c>
      <c r="N91" s="143" t="s">
        <v>59</v>
      </c>
      <c r="O91" s="143" t="s">
        <v>60</v>
      </c>
      <c r="P91" s="143" t="s">
        <v>61</v>
      </c>
      <c r="Q91" s="143" t="s">
        <v>62</v>
      </c>
      <c r="R91" s="143"/>
      <c r="S91" s="48"/>
      <c r="T91" s="148" t="s">
        <v>57</v>
      </c>
      <c r="U91" s="143" t="s">
        <v>60</v>
      </c>
      <c r="V91" s="143" t="s">
        <v>62</v>
      </c>
      <c r="W91" s="143"/>
      <c r="X91" s="143"/>
      <c r="Y91" s="148" t="s">
        <v>57</v>
      </c>
      <c r="Z91" s="148" t="s">
        <v>60</v>
      </c>
      <c r="AA91" s="149" t="s">
        <v>62</v>
      </c>
      <c r="AB91" s="143"/>
      <c r="AC91" s="143"/>
    </row>
    <row r="92" spans="10:29" x14ac:dyDescent="0.25">
      <c r="J92" s="50"/>
      <c r="K92" s="146"/>
      <c r="L92" s="52" t="s">
        <v>36</v>
      </c>
      <c r="M92" s="53" t="s">
        <v>63</v>
      </c>
      <c r="N92" s="48" t="s">
        <v>64</v>
      </c>
      <c r="O92" s="48" t="s">
        <v>64</v>
      </c>
      <c r="P92" s="48" t="s">
        <v>37</v>
      </c>
      <c r="Q92" s="48" t="s">
        <v>37</v>
      </c>
      <c r="R92" s="48"/>
      <c r="S92" s="83">
        <f>SUM(Q93:Q97)</f>
        <v>38.487921402907673</v>
      </c>
      <c r="T92" s="55" t="s">
        <v>36</v>
      </c>
      <c r="U92" s="48" t="s">
        <v>64</v>
      </c>
      <c r="V92" s="48" t="s">
        <v>37</v>
      </c>
      <c r="W92" s="48"/>
      <c r="X92" s="48"/>
      <c r="Y92" s="55" t="s">
        <v>36</v>
      </c>
      <c r="Z92" s="55" t="s">
        <v>64</v>
      </c>
      <c r="AA92" s="56" t="s">
        <v>37</v>
      </c>
      <c r="AB92" s="48"/>
      <c r="AC92" s="48"/>
    </row>
    <row r="93" spans="10:29" x14ac:dyDescent="0.25">
      <c r="J93" s="78" t="s">
        <v>12</v>
      </c>
      <c r="K93" s="150" t="s">
        <v>12</v>
      </c>
      <c r="L93" s="151">
        <v>520</v>
      </c>
      <c r="M93" s="152">
        <v>114.2</v>
      </c>
      <c r="N93" s="73">
        <v>0.68731481481481482</v>
      </c>
      <c r="O93" s="83">
        <v>0.81052758792880975</v>
      </c>
      <c r="P93" s="83">
        <f t="shared" ref="P93" si="61">N93*60*60*24*365/1000/1000</f>
        <v>21.675159999999995</v>
      </c>
      <c r="Q93" s="83">
        <f>O93*60*60*24*365/1000/1000</f>
        <v>25.560798012922945</v>
      </c>
      <c r="R93" s="83">
        <v>520</v>
      </c>
      <c r="S93" s="153"/>
      <c r="T93" s="84">
        <v>800</v>
      </c>
      <c r="U93" s="83">
        <v>1.2469655198904763</v>
      </c>
      <c r="V93" s="83">
        <f>U93*60*60*24*365/1000/1000</f>
        <v>39.32430463526606</v>
      </c>
      <c r="W93" s="83">
        <f t="shared" ref="W93" si="62">SUM(T93:T97)</f>
        <v>800</v>
      </c>
      <c r="X93" s="83">
        <f>SUM(V93:V97)</f>
        <v>51.723604146213169</v>
      </c>
      <c r="Y93" s="84">
        <v>1040</v>
      </c>
      <c r="Z93" s="83">
        <v>1.6324110790159914</v>
      </c>
      <c r="AA93" s="85">
        <f>Z93*60*60*24*365/1000/1000</f>
        <v>51.479715787848299</v>
      </c>
      <c r="AB93" s="83">
        <f t="shared" ref="AB93" si="63">SUM(Y93:Y97)</f>
        <v>1040</v>
      </c>
      <c r="AC93" s="83">
        <f>SUM(AA93:AA97)</f>
        <v>65.650343800359281</v>
      </c>
    </row>
    <row r="94" spans="10:29" x14ac:dyDescent="0.25">
      <c r="J94" s="66"/>
      <c r="K94" s="63" t="s">
        <v>65</v>
      </c>
      <c r="L94" s="154"/>
      <c r="M94" s="155"/>
      <c r="N94" s="156"/>
      <c r="O94" s="153"/>
      <c r="P94" s="153"/>
      <c r="Q94" s="153"/>
      <c r="R94" s="153"/>
      <c r="S94" s="83"/>
      <c r="T94" s="153"/>
      <c r="U94" s="153"/>
      <c r="V94" s="153"/>
      <c r="W94" s="153"/>
      <c r="X94" s="153"/>
      <c r="Y94" s="153"/>
      <c r="Z94" s="153"/>
      <c r="AA94" s="157"/>
      <c r="AB94" s="153"/>
      <c r="AC94" s="153"/>
    </row>
    <row r="95" spans="10:29" x14ac:dyDescent="0.25">
      <c r="J95" s="66"/>
      <c r="K95" s="71" t="s">
        <v>91</v>
      </c>
      <c r="L95" s="158"/>
      <c r="M95" s="159"/>
      <c r="N95" s="160">
        <v>0.14979705733130391</v>
      </c>
      <c r="O95" s="83">
        <v>0.17665070640196875</v>
      </c>
      <c r="P95" s="83">
        <f t="shared" ref="P95:P97" si="64">N95*60*60*24*365/1000/1000</f>
        <v>4.7239999999999993</v>
      </c>
      <c r="Q95" s="83">
        <f>O95*60*60*24*365/1000/1000</f>
        <v>5.570856677092487</v>
      </c>
      <c r="R95" s="83"/>
      <c r="S95" s="83"/>
      <c r="T95" s="161"/>
      <c r="U95" s="83">
        <v>0.1854832417220672</v>
      </c>
      <c r="V95" s="83">
        <f t="shared" ref="V95:V103" si="65">U95*60*60*24*365/1000/1000</f>
        <v>5.8493995109471104</v>
      </c>
      <c r="W95" s="83"/>
      <c r="X95" s="83"/>
      <c r="Y95" s="161"/>
      <c r="Z95" s="83">
        <v>0.2119808476823625</v>
      </c>
      <c r="AA95" s="85">
        <f t="shared" ref="AA95:AA103" si="66">Z95*60*60*24*365/1000/1000</f>
        <v>6.6850280125109833</v>
      </c>
      <c r="AB95" s="83"/>
      <c r="AC95" s="83"/>
    </row>
    <row r="96" spans="10:29" x14ac:dyDescent="0.25">
      <c r="J96" s="66"/>
      <c r="K96" s="71" t="s">
        <v>92</v>
      </c>
      <c r="L96" s="158"/>
      <c r="M96" s="159"/>
      <c r="N96" s="160">
        <v>0.16796676813800102</v>
      </c>
      <c r="O96" s="83">
        <v>0.19807764432921857</v>
      </c>
      <c r="P96" s="83">
        <f t="shared" si="64"/>
        <v>5.2969999999999997</v>
      </c>
      <c r="Q96" s="83">
        <f>O96*60*60*24*365/1000/1000</f>
        <v>6.246576591566237</v>
      </c>
      <c r="R96" s="83"/>
      <c r="S96" s="83"/>
      <c r="T96" s="161"/>
      <c r="U96" s="83">
        <v>0.17636510654490106</v>
      </c>
      <c r="V96" s="83">
        <f t="shared" si="65"/>
        <v>5.5618500000000006</v>
      </c>
      <c r="W96" s="83"/>
      <c r="X96" s="83"/>
      <c r="Y96" s="161"/>
      <c r="Z96" s="83">
        <v>0.2015601217656012</v>
      </c>
      <c r="AA96" s="85">
        <f t="shared" si="66"/>
        <v>6.3563999999999981</v>
      </c>
      <c r="AB96" s="83"/>
      <c r="AC96" s="83"/>
    </row>
    <row r="97" spans="10:32" x14ac:dyDescent="0.25">
      <c r="J97" s="77"/>
      <c r="K97" s="71" t="s">
        <v>93</v>
      </c>
      <c r="L97" s="162"/>
      <c r="M97" s="163"/>
      <c r="N97" s="160">
        <v>2.9838914256722478E-2</v>
      </c>
      <c r="O97" s="83">
        <v>3.5188042913685991E-2</v>
      </c>
      <c r="P97" s="83">
        <f t="shared" si="64"/>
        <v>0.94100000000000006</v>
      </c>
      <c r="Q97" s="83">
        <f>O97*60*60*24*365/1000/1000</f>
        <v>1.1096901213260018</v>
      </c>
      <c r="R97" s="83"/>
      <c r="S97" s="74">
        <f>Q98</f>
        <v>0</v>
      </c>
      <c r="T97" s="161"/>
      <c r="U97" s="83">
        <v>3.1330859969558603E-2</v>
      </c>
      <c r="V97" s="83">
        <f t="shared" si="65"/>
        <v>0.98805000000000009</v>
      </c>
      <c r="W97" s="83"/>
      <c r="X97" s="83"/>
      <c r="Y97" s="161"/>
      <c r="Z97" s="83">
        <v>3.580669710806697E-2</v>
      </c>
      <c r="AA97" s="85">
        <f t="shared" si="66"/>
        <v>1.1292</v>
      </c>
      <c r="AB97" s="83"/>
      <c r="AC97" s="83"/>
    </row>
    <row r="98" spans="10:32" x14ac:dyDescent="0.25">
      <c r="J98" s="77" t="s">
        <v>15</v>
      </c>
      <c r="K98" s="164" t="s">
        <v>15</v>
      </c>
      <c r="L98" s="165" t="s">
        <v>75</v>
      </c>
      <c r="M98" s="166"/>
      <c r="N98" s="166"/>
      <c r="O98" s="166"/>
      <c r="P98" s="166"/>
      <c r="Q98" s="166"/>
      <c r="R98" s="74" t="s">
        <v>75</v>
      </c>
      <c r="S98" s="83">
        <f>Q99</f>
        <v>0</v>
      </c>
      <c r="T98" s="97">
        <v>600</v>
      </c>
      <c r="U98" s="74">
        <v>0.81699346405228757</v>
      </c>
      <c r="V98" s="74">
        <f t="shared" si="65"/>
        <v>25.764705882352942</v>
      </c>
      <c r="W98" s="74">
        <f t="shared" ref="W98:W100" si="67">T98</f>
        <v>600</v>
      </c>
      <c r="X98" s="74">
        <f>V98</f>
        <v>25.764705882352942</v>
      </c>
      <c r="Y98" s="97">
        <v>800</v>
      </c>
      <c r="Z98" s="83">
        <v>1.0893246187363834</v>
      </c>
      <c r="AA98" s="85">
        <f t="shared" si="66"/>
        <v>34.352941176470587</v>
      </c>
      <c r="AB98" s="74">
        <f t="shared" ref="AB98:AB100" si="68">Y98</f>
        <v>800</v>
      </c>
      <c r="AC98" s="74">
        <f>AA98</f>
        <v>34.352941176470587</v>
      </c>
    </row>
    <row r="99" spans="10:32" ht="15.75" thickBot="1" x14ac:dyDescent="0.3">
      <c r="J99" s="136" t="s">
        <v>24</v>
      </c>
      <c r="K99" s="79" t="s">
        <v>24</v>
      </c>
      <c r="L99" s="165"/>
      <c r="M99" s="166"/>
      <c r="N99" s="166"/>
      <c r="O99" s="166"/>
      <c r="P99" s="166"/>
      <c r="Q99" s="166"/>
      <c r="R99" s="83">
        <v>0</v>
      </c>
      <c r="S99" s="167">
        <f>Q100</f>
        <v>0</v>
      </c>
      <c r="T99" s="84">
        <v>200</v>
      </c>
      <c r="U99" s="83">
        <v>0.27233115468409586</v>
      </c>
      <c r="V99" s="83">
        <f t="shared" si="65"/>
        <v>8.5882352941176467</v>
      </c>
      <c r="W99" s="83">
        <f t="shared" si="67"/>
        <v>200</v>
      </c>
      <c r="X99" s="83">
        <f>V99</f>
        <v>8.5882352941176467</v>
      </c>
      <c r="Y99" s="84">
        <v>350</v>
      </c>
      <c r="Z99" s="83">
        <v>0.47657952069716769</v>
      </c>
      <c r="AA99" s="85">
        <f t="shared" si="66"/>
        <v>15.029411764705879</v>
      </c>
      <c r="AB99" s="83">
        <f t="shared" si="68"/>
        <v>350</v>
      </c>
      <c r="AC99" s="83">
        <f>AA99</f>
        <v>15.029411764705879</v>
      </c>
    </row>
    <row r="100" spans="10:32" ht="26.25" thickBot="1" x14ac:dyDescent="0.3">
      <c r="J100" s="168" t="s">
        <v>18</v>
      </c>
      <c r="K100" s="169" t="s">
        <v>18</v>
      </c>
      <c r="L100" s="165"/>
      <c r="M100" s="166"/>
      <c r="N100" s="166"/>
      <c r="O100" s="166"/>
      <c r="P100" s="166"/>
      <c r="Q100" s="166"/>
      <c r="R100" s="167">
        <v>0</v>
      </c>
      <c r="S100" s="170">
        <f>SUM(S92:S99)</f>
        <v>38.487921402907673</v>
      </c>
      <c r="T100" s="171">
        <v>380</v>
      </c>
      <c r="U100" s="167">
        <v>0.51742919389978204</v>
      </c>
      <c r="V100" s="167">
        <f t="shared" si="65"/>
        <v>16.317647058823525</v>
      </c>
      <c r="W100" s="167">
        <f t="shared" si="67"/>
        <v>380</v>
      </c>
      <c r="X100" s="167">
        <f>V100</f>
        <v>16.317647058823525</v>
      </c>
      <c r="Y100" s="171">
        <v>480</v>
      </c>
      <c r="Z100" s="167">
        <v>0.65359477124183007</v>
      </c>
      <c r="AA100" s="172">
        <f t="shared" si="66"/>
        <v>20.611764705882354</v>
      </c>
      <c r="AB100" s="167">
        <f t="shared" si="68"/>
        <v>480</v>
      </c>
      <c r="AC100" s="167">
        <f>AA100</f>
        <v>20.611764705882354</v>
      </c>
    </row>
    <row r="101" spans="10:32" x14ac:dyDescent="0.25">
      <c r="J101" s="182" t="s">
        <v>98</v>
      </c>
      <c r="K101" s="224" t="s">
        <v>98</v>
      </c>
      <c r="L101" s="165"/>
      <c r="M101" s="166"/>
      <c r="N101" s="166"/>
      <c r="O101" s="166"/>
      <c r="P101" s="166"/>
      <c r="Q101" s="166"/>
      <c r="R101" s="100"/>
      <c r="S101" s="222"/>
      <c r="T101" s="225">
        <v>320</v>
      </c>
      <c r="U101" s="83">
        <f t="shared" ref="U101:U103" si="69">(T101*120)/24/3600</f>
        <v>0.44444444444444442</v>
      </c>
      <c r="V101" s="167">
        <f t="shared" si="65"/>
        <v>14.015999999999998</v>
      </c>
      <c r="W101" s="100">
        <f>T101+T102</f>
        <v>420</v>
      </c>
      <c r="X101" s="100">
        <f>V101+V102</f>
        <v>18.396000000000001</v>
      </c>
      <c r="Y101" s="225">
        <v>350</v>
      </c>
      <c r="Z101" s="83">
        <f t="shared" ref="Z101:Z103" si="70">(Y101*120)/24/3600</f>
        <v>0.4861111111111111</v>
      </c>
      <c r="AA101" s="167">
        <f t="shared" si="66"/>
        <v>15.33</v>
      </c>
      <c r="AB101" s="100">
        <f>Y101+Y102</f>
        <v>500</v>
      </c>
      <c r="AC101" s="100">
        <f>AA101+AA102</f>
        <v>21.9</v>
      </c>
      <c r="AF101" s="227"/>
    </row>
    <row r="102" spans="10:32" x14ac:dyDescent="0.25">
      <c r="J102" s="220"/>
      <c r="K102" s="221" t="s">
        <v>100</v>
      </c>
      <c r="L102" s="165"/>
      <c r="M102" s="166"/>
      <c r="N102" s="166"/>
      <c r="O102" s="166"/>
      <c r="P102" s="166"/>
      <c r="Q102" s="166"/>
      <c r="R102" s="100"/>
      <c r="S102" s="222"/>
      <c r="T102" s="225">
        <v>100</v>
      </c>
      <c r="U102" s="83">
        <f t="shared" si="69"/>
        <v>0.1388888888888889</v>
      </c>
      <c r="V102" s="167">
        <f t="shared" si="65"/>
        <v>4.3800000000000008</v>
      </c>
      <c r="W102" s="100"/>
      <c r="X102" s="100"/>
      <c r="Y102" s="225">
        <v>150</v>
      </c>
      <c r="Z102" s="83">
        <f t="shared" si="70"/>
        <v>0.20833333333333334</v>
      </c>
      <c r="AA102" s="167">
        <f t="shared" si="66"/>
        <v>6.57</v>
      </c>
      <c r="AB102" s="100"/>
      <c r="AC102" s="100"/>
    </row>
    <row r="103" spans="10:32" ht="15.75" thickBot="1" x14ac:dyDescent="0.3">
      <c r="J103" s="182" t="s">
        <v>99</v>
      </c>
      <c r="K103" s="224" t="s">
        <v>99</v>
      </c>
      <c r="L103" s="165"/>
      <c r="M103" s="166"/>
      <c r="N103" s="166"/>
      <c r="O103" s="166"/>
      <c r="P103" s="166"/>
      <c r="Q103" s="166"/>
      <c r="R103" s="100"/>
      <c r="S103" s="222"/>
      <c r="T103" s="223">
        <v>195</v>
      </c>
      <c r="U103" s="83">
        <f t="shared" si="69"/>
        <v>0.27083333333333331</v>
      </c>
      <c r="V103" s="167">
        <f t="shared" si="65"/>
        <v>8.5410000000000004</v>
      </c>
      <c r="W103" s="100">
        <f>T103</f>
        <v>195</v>
      </c>
      <c r="X103" s="100">
        <f>V103</f>
        <v>8.5410000000000004</v>
      </c>
      <c r="Y103" s="223">
        <v>300</v>
      </c>
      <c r="Z103" s="83">
        <f t="shared" si="70"/>
        <v>0.41666666666666669</v>
      </c>
      <c r="AA103" s="167">
        <f t="shared" si="66"/>
        <v>13.14</v>
      </c>
      <c r="AB103" s="100">
        <f>Y103</f>
        <v>300</v>
      </c>
      <c r="AC103" s="100">
        <f>AA103</f>
        <v>13.14</v>
      </c>
    </row>
    <row r="104" spans="10:32" ht="15.75" thickBot="1" x14ac:dyDescent="0.3">
      <c r="J104" s="173" t="s">
        <v>26</v>
      </c>
      <c r="K104" s="174"/>
      <c r="L104" s="175">
        <f>SUM(L93:L100)</f>
        <v>520</v>
      </c>
      <c r="M104" s="175"/>
      <c r="N104" s="176">
        <f t="shared" ref="N104" si="71">SUM(N93:N100)</f>
        <v>1.0349175545408422</v>
      </c>
      <c r="O104" s="170">
        <f>SUM(O93:O100)</f>
        <v>1.2204439815736829</v>
      </c>
      <c r="P104" s="170">
        <f t="shared" ref="P104" si="72">N104*60*60*24*365/1000/1000</f>
        <v>32.637160000000002</v>
      </c>
      <c r="Q104" s="170">
        <f>O104*60*60*24*365/1000/1000</f>
        <v>38.487921402907659</v>
      </c>
      <c r="R104" s="170">
        <v>520</v>
      </c>
      <c r="S104" s="177"/>
      <c r="T104" s="139">
        <f>SUM(T93:T101)</f>
        <v>2300</v>
      </c>
      <c r="U104" s="170">
        <f>SUM(U93:U100)</f>
        <v>3.2468985407631688</v>
      </c>
      <c r="V104" s="170">
        <f>SUM(V93:V100)</f>
        <v>102.39419238150728</v>
      </c>
      <c r="W104" s="170">
        <f t="shared" ref="W104" si="73">SUM(W93:W100)</f>
        <v>1980</v>
      </c>
      <c r="X104" s="170">
        <f>SUM(X93:X100)</f>
        <v>102.39419238150728</v>
      </c>
      <c r="Y104" s="139">
        <f t="shared" ref="Y104" si="74">SUM(Y93:Y100)</f>
        <v>2670</v>
      </c>
      <c r="Z104" s="170">
        <f>SUM(Z93:Z100)</f>
        <v>4.3012576562474036</v>
      </c>
      <c r="AA104" s="178">
        <f>SUM(AA93:AA100)</f>
        <v>135.64446144741811</v>
      </c>
      <c r="AB104" s="170">
        <f t="shared" ref="AB104" si="75">SUM(AB93:AB100)</f>
        <v>2670</v>
      </c>
      <c r="AC104" s="170">
        <f>SUM(AC93:AC100)</f>
        <v>135.64446144741811</v>
      </c>
    </row>
    <row r="105" spans="10:32" ht="15.75" thickBot="1" x14ac:dyDescent="0.3">
      <c r="J105" s="177"/>
      <c r="K105" s="177"/>
      <c r="L105" s="177"/>
      <c r="M105" s="177"/>
      <c r="N105" s="177"/>
      <c r="O105" s="177"/>
      <c r="P105" s="177"/>
      <c r="Q105" s="177"/>
      <c r="R105" s="177"/>
      <c r="S105" s="170">
        <f>S84+S100+S60</f>
        <v>733.25653727537963</v>
      </c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</row>
    <row r="106" spans="10:32" ht="15.75" thickBot="1" x14ac:dyDescent="0.3">
      <c r="J106" s="179" t="s">
        <v>51</v>
      </c>
      <c r="K106" s="180"/>
      <c r="L106" s="181">
        <f>L61+L88+L104</f>
        <v>12970</v>
      </c>
      <c r="M106" s="181"/>
      <c r="N106" s="176">
        <f t="shared" ref="N106" si="76">N61+N88+N104</f>
        <v>19.050945665271435</v>
      </c>
      <c r="O106" s="170">
        <f>O61+O88+O104</f>
        <v>23.251412267737813</v>
      </c>
      <c r="P106" s="170">
        <f t="shared" ref="P106" si="77">N106*60*60*24*365/1000/1000</f>
        <v>600.79062250000004</v>
      </c>
      <c r="Q106" s="170">
        <f>O106*60*60*24*365/1000/1000</f>
        <v>733.25653727537963</v>
      </c>
      <c r="R106" s="170" t="e">
        <v>#VALUE!</v>
      </c>
      <c r="T106" s="181">
        <f t="shared" ref="T106" si="78">T61+T88+T104</f>
        <v>20698</v>
      </c>
      <c r="U106" s="170">
        <f>U61+U88+U104</f>
        <v>34.244739716247622</v>
      </c>
      <c r="V106" s="170">
        <f t="shared" ref="V106" si="79">V61+V88+V104</f>
        <v>1079.9421116915848</v>
      </c>
      <c r="W106" s="170">
        <f t="shared" ref="W106" si="80">W88+W104+W61</f>
        <v>20378</v>
      </c>
      <c r="X106" s="170">
        <f>X88+X104+X61</f>
        <v>1079.9421116915851</v>
      </c>
      <c r="Y106" s="181">
        <f t="shared" ref="Y106:AA106" si="81">Y61+Y88+Y104</f>
        <v>28618</v>
      </c>
      <c r="Z106" s="170">
        <f t="shared" si="81"/>
        <v>48.235568642659729</v>
      </c>
      <c r="AA106" s="170">
        <f t="shared" si="81"/>
        <v>1521.1568927149169</v>
      </c>
      <c r="AB106" s="170">
        <f t="shared" ref="AB106" si="82">AB88+AB104+AB61</f>
        <v>28618</v>
      </c>
      <c r="AC106" s="170">
        <f>AC88+AC104+AC61</f>
        <v>1521.1568927149169</v>
      </c>
    </row>
  </sheetData>
  <mergeCells count="9">
    <mergeCell ref="L85:Q87"/>
    <mergeCell ref="P3:P4"/>
    <mergeCell ref="Q3:Q4"/>
    <mergeCell ref="D3:E3"/>
    <mergeCell ref="F3:F4"/>
    <mergeCell ref="G3:H3"/>
    <mergeCell ref="K3:K4"/>
    <mergeCell ref="L3:L4"/>
    <mergeCell ref="M3:N3"/>
  </mergeCells>
  <pageMargins left="0.7" right="0.7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Rozdělení-70,90%(dotace)</vt:lpstr>
      <vt:lpstr>Tab_obce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Jáglová Veronika</dc:creator>
  <cp:lastModifiedBy>Tomáš Kolařík</cp:lastModifiedBy>
  <cp:lastPrinted>2023-06-05T11:50:06Z</cp:lastPrinted>
  <dcterms:created xsi:type="dcterms:W3CDTF">2022-03-21T14:06:43Z</dcterms:created>
  <dcterms:modified xsi:type="dcterms:W3CDTF">2023-06-12T11:58:00Z</dcterms:modified>
</cp:coreProperties>
</file>